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5ChAgt3dPATL2jCvYMFlXjdjb0tvSlueMLpgFb5fj+09OBKpPkQlzcFOXwKuvtxgubHtczndWja95la3RF1UsA==" workbookSaltValue="x0KMtFGdcsnOZNF2pU2R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C12" i="14"/>
  <c r="K12" i="14" s="1"/>
  <c r="AB13" i="21"/>
  <c r="BG10" i="8"/>
  <c r="V10" i="16"/>
  <c r="X15" i="16"/>
  <c r="X18" i="16" s="1"/>
  <c r="L17" i="2"/>
  <c r="L12" i="2"/>
  <c r="S16" i="17"/>
  <c r="S15" i="17"/>
  <c r="BK10" i="11"/>
  <c r="BH12" i="16"/>
  <c r="BM9" i="11"/>
  <c r="S17" i="17"/>
  <c r="BM17" i="11"/>
  <c r="AQ10" i="21"/>
  <c r="BG12" i="11"/>
  <c r="BW10" i="20"/>
  <c r="BW12" i="20"/>
  <c r="BU11" i="17"/>
  <c r="BK17" i="11"/>
  <c r="BJ12" i="11"/>
  <c r="BM12" i="11"/>
  <c r="BF10" i="11"/>
  <c r="BM16" i="11"/>
  <c r="BH11" i="16"/>
  <c r="T9" i="11"/>
  <c r="AL16" i="11"/>
  <c r="C16" i="6"/>
  <c r="BE9" i="13"/>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<sst xmlns="http://schemas.openxmlformats.org/spreadsheetml/2006/main" count="2102" uniqueCount="918">
  <si>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</si>
  <si>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</si>
  <si>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</si>
  <si>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</si>
  <si>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</si>
  <si>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</si>
  <si>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</si>
  <si>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</si>
  <si>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</si>
  <si>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</si>
  <si>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</si>
  <si>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</si>
  <si>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</si>
  <si>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</si>
  <si>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</si>
  <si>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</si>
  <si>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</si>
  <si>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</si>
  <si>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</si>
  <si>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</si>
  <si>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</si>
  <si>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</si>
  <si>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</si>
  <si>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</si>
  <si>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</si>
  <si>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</si>
  <si>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</si>
  <si>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</si>
  <si>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</si>
  <si>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</si>
  <si>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</si>
  <si>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</si>
  <si>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</si>
  <si>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</si>
  <si>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</si>
  <si>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</si>
  <si>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</si>
  <si>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</si>
  <si>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</si>
  <si>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</si>
  <si>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</si>
  <si>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</si>
  <si>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</si>
  <si>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</si>
  <si>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</si>
  <si>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</si>
  <si>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</si>
  <si>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</si>
  <si>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</si>
  <si>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</si>
  <si>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</si>
  <si>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</si>
  <si>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</si>
  <si>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</si>
  <si>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</si>
  <si>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</si>
  <si>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</si>
  <si>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</si>
  <si>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</si>
  <si>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</si>
  <si>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</si>
  <si>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</si>
  <si>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</si>
  <si>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</si>
  <si>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</si>
  <si>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</si>
  <si>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</si>
  <si>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</si>
  <si>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</si>
  <si>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</si>
  <si>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</si>
  <si>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</si>
  <si>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</si>
  <si>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</si>
  <si>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</si>
  <si>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</si>
  <si>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</si>
  <si>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</si>
  <si>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</si>
  <si>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</si>
  <si>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</si>
  <si>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</si>
  <si>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</si>
  <si>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</si>
  <si>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</si>
  <si>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</si>
  <si>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</si>
  <si>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</si>
  <si>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</si>
  <si>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</si>
  <si>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</si>
  <si>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</si>
  <si>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</si>
  <si>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</si>
  <si>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</si>
  <si>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</si>
  <si>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</si>
  <si>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</si>
  <si>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</si>
  <si>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</si>
  <si>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</si>
  <si>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</si>
  <si>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</si>
  <si>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</si>
  <si>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</si>
  <si>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</si>
  <si>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</si>
  <si>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</si>
  <si>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</si>
  <si>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</si>
  <si>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</si>
  <si>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</si>
  <si>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</si>
  <si>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</si>
  <si>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</si>
  <si>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</si>
  <si>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</si>
  <si>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</si>
  <si>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</si>
  <si>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</si>
  <si>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</si>
  <si>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</si>
  <si>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</si>
  <si>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</si>
  <si>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</si>
  <si>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</si>
  <si>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</si>
  <si>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</si>
  <si>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</si>
  <si>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</si>
  <si>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</si>
  <si>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</si>
  <si>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</si>
  <si>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</si>
  <si>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</si>
  <si>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</si>
  <si>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</si>
  <si>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</si>
  <si>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</si>
  <si>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</si>
  <si>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</si>
  <si>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</si>
  <si>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</si>
  <si>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</si>
  <si>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</si>
  <si>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</si>
  <si>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</si>
  <si>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</si>
  <si>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</si>
  <si>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</si>
  <si>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</si>
  <si>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</si>
  <si>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</si>
  <si>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</si>
  <si>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</si>
  <si>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</si>
  <si>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</si>
  <si>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</si>
  <si>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</si>
  <si>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</si>
  <si>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</si>
  <si>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</si>
  <si>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</si>
  <si>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</si>
  <si>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</si>
  <si>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</si>
  <si>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</si>
  <si>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</si>
  <si>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</si>
  <si>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</si>
  <si>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</si>
  <si>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</si>
  <si>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</si>
  <si>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</si>
  <si>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</si>
  <si>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</si>
  <si>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</si>
  <si>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</si>
  <si>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</si>
  <si>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</si>
  <si>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</si>
  <si>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</si>
  <si>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</si>
  <si>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</si>
  <si>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</si>
  <si>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</si>
  <si>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</si>
  <si>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</si>
  <si>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</si>
  <si>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</si>
  <si>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</si>
  <si>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</si>
  <si>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</si>
  <si>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</si>
  <si>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</si>
  <si>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</si>
  <si>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</si>
  <si>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</si>
  <si>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</si>
  <si>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</si>
  <si>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</si>
  <si>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</si>
  <si>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</si>
  <si>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</si>
  <si>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</si>
  <si>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</si>
  <si>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</si>
  <si>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</si>
  <si>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</si>
  <si>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</si>
  <si>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</si>
  <si>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</si>
  <si>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</si>
  <si>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</si>
  <si>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</si>
  <si>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</si>
  <si>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</si>
  <si>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</si>
  <si>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</si>
  <si>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</si>
  <si>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</si>
  <si>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</si>
  <si>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</si>
  <si>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</si>
  <si>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</si>
  <si>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</si>
  <si>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</si>
  <si>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</si>
  <si>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</si>
  <si>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</si>
  <si>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</si>
  <si>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</si>
  <si>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</si>
  <si>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</si>
  <si>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</si>
  <si>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</si>
  <si>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</si>
  <si>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</si>
  <si>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</si>
  <si>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</si>
  <si>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</si>
  <si>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</si>
  <si>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</si>
  <si>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</si>
  <si>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</si>
  <si>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</si>
  <si>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</si>
  <si>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</si>
  <si>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</si>
  <si>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</si>
  <si>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</si>
  <si>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</si>
  <si>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</si>
  <si>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</si>
  <si>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</si>
  <si>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</si>
  <si>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</si>
  <si>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</si>
  <si>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</si>
  <si>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</si>
  <si>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</si>
  <si>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</si>
  <si>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</si>
  <si>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</si>
  <si>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</si>
  <si>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</si>
  <si>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</si>
  <si>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</si>
  <si>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</si>
  <si>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</si>
  <si>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</si>
  <si>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</si>
  <si>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</si>
  <si>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</si>
  <si>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</si>
  <si>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</si>
  <si>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</si>
  <si>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</si>
  <si>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</si>
  <si>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</si>
  <si>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</si>
  <si>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</si>
  <si>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</si>
  <si>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</si>
  <si>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</si>
  <si>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</si>
  <si>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</si>
  <si>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</si>
  <si>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</si>
  <si>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</si>
  <si>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</si>
  <si>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</si>
  <si>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</si>
  <si>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</si>
  <si>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</si>
  <si>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</si>
  <si>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</si>
  <si>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</si>
  <si>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</si>
  <si>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</si>
  <si>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</si>
  <si>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</si>
  <si>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</si>
  <si>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</si>
  <si>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</si>
  <si>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</si>
  <si>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</si>
  <si>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</si>
  <si>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</si>
  <si>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</si>
  <si>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</si>
  <si>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</si>
  <si>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</si>
  <si>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</si>
  <si>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</si>
  <si>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</si>
  <si>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</si>
  <si>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</si>
  <si>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</si>
  <si>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</si>
  <si>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</si>
  <si>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</si>
  <si>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</si>
  <si>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</si>
  <si>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</si>
  <si>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</si>
  <si>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</si>
  <si>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</si>
  <si>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</si>
  <si>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</si>
  <si>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</si>
  <si>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</si>
  <si>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</si>
  <si>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</si>
  <si>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</si>
  <si>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</si>
  <si>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</si>
  <si>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</si>
  <si>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</si>
  <si>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</si>
  <si>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</si>
  <si>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</si>
  <si>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</si>
  <si>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</si>
  <si>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</si>
  <si>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</si>
  <si>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</si>
  <si>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</si>
  <si>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</si>
  <si>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</si>
  <si>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</si>
  <si>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</si>
  <si>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</si>
  <si>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</si>
  <si>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</si>
  <si>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</si>
  <si>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</si>
  <si>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</si>
  <si>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</si>
  <si>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</si>
  <si>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</si>
  <si>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</si>
  <si>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</si>
  <si>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</si>
  <si>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</si>
  <si>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</si>
  <si>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</si>
  <si>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</si>
  <si>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</si>
  <si>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</si>
  <si>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</si>
  <si>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</si>
  <si>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</si>
  <si>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</si>
  <si>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</si>
  <si>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</si>
  <si>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</si>
  <si>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</si>
  <si>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</si>
  <si>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</si>
  <si>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</si>
  <si>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</si>
  <si>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</si>
  <si>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</si>
  <si>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</si>
  <si>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</si>
  <si>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</si>
  <si>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</si>
  <si>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</si>
  <si>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</si>
  <si>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</si>
  <si>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</si>
  <si>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</si>
  <si>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</si>
  <si>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</si>
  <si>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</si>
  <si>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</si>
  <si>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</si>
  <si>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</si>
  <si>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</si>
  <si>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</si>
  <si>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</si>
  <si>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</si>
  <si>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</si>
  <si>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</si>
  <si>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</si>
  <si>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</si>
  <si>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</si>
  <si>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</si>
  <si>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</si>
  <si>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</si>
  <si>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</si>
  <si>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</si>
  <si>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</si>
  <si>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</si>
  <si>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</si>
  <si>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</si>
  <si>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</si>
  <si>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</si>
  <si>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</si>
  <si>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</si>
  <si>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</si>
  <si>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</si>
  <si>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</si>
  <si>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</si>
  <si>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</si>
  <si>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</si>
  <si>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</si>
  <si>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</si>
  <si>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</si>
  <si>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</si>
  <si>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</si>
  <si>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</si>
  <si>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</si>
  <si>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</si>
  <si>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</si>
  <si>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</si>
  <si>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</si>
  <si>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</si>
  <si>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</si>
  <si>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</si>
  <si>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</si>
  <si>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</si>
  <si>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</si>
  <si>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</si>
  <si>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</si>
  <si>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</si>
  <si>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</si>
  <si>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</si>
  <si>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</si>
  <si>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</si>
  <si>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</si>
  <si>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</si>
  <si>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</si>
  <si>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</si>
  <si>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</si>
  <si>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</si>
  <si>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</si>
  <si>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</si>
  <si>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</si>
  <si>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</si>
  <si>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</si>
  <si>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</si>
  <si>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</si>
  <si>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</si>
  <si>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</si>
  <si>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</si>
  <si>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</si>
  <si>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</si>
  <si>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</si>
  <si>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</si>
  <si>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</si>
  <si>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</si>
  <si>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</si>
  <si>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</si>
  <si>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</si>
  <si>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</si>
  <si>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</si>
  <si>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</si>
  <si>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</si>
  <si>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</si>
  <si>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</si>
  <si>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</si>
  <si>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</si>
  <si>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</si>
  <si>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</si>
  <si>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</si>
  <si>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</si>
  <si>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</si>
  <si>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</si>
  <si>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</si>
  <si>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</si>
  <si>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</si>
  <si>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</si>
  <si>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</si>
  <si>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</si>
  <si>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</si>
  <si>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</si>
  <si>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</si>
  <si>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</si>
  <si>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</si>
  <si>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</si>
  <si>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</si>
  <si>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</si>
  <si>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</si>
  <si>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</si>
  <si>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</si>
  <si>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</si>
  <si>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</si>
  <si>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</si>
  <si>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</si>
  <si>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</si>
  <si>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</si>
  <si>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</si>
  <si>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</si>
  <si>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</si>
  <si>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</si>
  <si>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</si>
  <si>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</si>
  <si>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</si>
  <si>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</si>
  <si>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</si>
  <si>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</si>
  <si>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</si>
  <si>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</si>
  <si>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</si>
  <si>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</si>
  <si>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</si>
  <si>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</si>
  <si>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</si>
  <si>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</si>
  <si>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</si>
  <si>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</si>
  <si>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</si>
  <si>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</si>
  <si>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</si>
  <si>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</si>
  <si>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</si>
  <si>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</si>
  <si>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</si>
  <si>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</si>
  <si>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</si>
  <si>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</si>
  <si>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</si>
  <si>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</si>
  <si>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</si>
  <si>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</si>
  <si>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</si>
  <si>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</si>
  <si>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</si>
  <si>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</si>
  <si>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</si>
  <si>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</si>
  <si>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</si>
  <si>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</si>
  <si>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</si>
  <si>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</si>
  <si>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</si>
  <si>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</si>
  <si>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</si>
  <si>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</si>
  <si>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</si>
  <si>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</si>
  <si>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</si>
  <si>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</si>
  <si>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</si>
  <si>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</si>
  <si>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</si>
  <si>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</si>
  <si>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</si>
  <si>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</si>
  <si>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</si>
  <si>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</si>
  <si>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</si>
  <si>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</si>
  <si>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</si>
  <si>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</si>
  <si>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</si>
  <si>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</si>
  <si>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</si>
  <si>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</si>
  <si>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</si>
  <si>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</si>
  <si>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</si>
  <si>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</si>
  <si>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</si>
  <si>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</si>
  <si>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</si>
  <si>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</si>
  <si>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</si>
  <si>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</si>
  <si>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</si>
  <si>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</si>
  <si>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</si>
  <si>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</si>
  <si>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</si>
  <si>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</si>
  <si>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</si>
  <si>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</si>
  <si>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</si>
  <si>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</si>
  <si>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</si>
  <si>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</si>
  <si>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</si>
  <si>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</si>
  <si>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</si>
  <si>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</si>
  <si>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</si>
  <si>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</si>
  <si>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</si>
  <si>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</si>
  <si>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</si>
  <si>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</si>
  <si>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</si>
  <si>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</si>
  <si>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</si>
  <si>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</si>
  <si>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</si>
  <si>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</si>
  <si>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</si>
  <si>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</si>
  <si>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</si>
  <si>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</si>
  <si>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</si>
  <si>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</si>
  <si>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</si>
  <si>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</si>
  <si>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</si>
  <si>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</si>
  <si>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</si>
  <si>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</si>
  <si>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</si>
  <si>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</si>
  <si>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</si>
  <si>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</si>
  <si>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</si>
  <si>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</si>
  <si>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</si>
  <si>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</si>
  <si>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</si>
  <si>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</si>
  <si>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</si>
  <si>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</si>
  <si>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</si>
  <si>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</si>
  <si>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</si>
  <si>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</si>
  <si>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</si>
  <si>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</si>
  <si>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</si>
  <si>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</si>
  <si>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</si>
  <si>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</si>
  <si>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</si>
  <si>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</si>
  <si>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</si>
  <si>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</si>
  <si>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</si>
  <si>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</si>
  <si>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</si>
  <si>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</si>
  <si>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</si>
  <si>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</si>
  <si>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</si>
  <si>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</si>
  <si>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</si>
  <si>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</si>
  <si>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</si>
  <si>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</si>
  <si>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</si>
  <si>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</si>
  <si>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</si>
  <si>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</si>
  <si>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</si>
  <si>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</si>
  <si>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</si>
  <si>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</si>
  <si>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</si>
  <si>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</si>
  <si>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</si>
  <si>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</si>
  <si>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</si>
  <si>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</si>
  <si>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</si>
  <si>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</si>
  <si>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</si>
  <si>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</si>
  <si>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</si>
  <si>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</si>
  <si>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</si>
  <si>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</si>
  <si>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</si>
  <si>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</si>
  <si>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</si>
  <si>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</si>
  <si>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</si>
  <si>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</si>
  <si>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</si>
  <si>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</si>
  <si>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</si>
  <si>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</si>
  <si>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</si>
  <si>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</si>
  <si>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</si>
  <si>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</si>
  <si>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</si>
  <si>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</si>
  <si>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</si>
  <si>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</si>
  <si>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</si>
  <si>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</si>
  <si>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</si>
  <si>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</si>
  <si>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</si>
  <si>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</si>
  <si>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</si>
  <si>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</si>
  <si>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</si>
  <si>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</si>
  <si>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</si>
  <si>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</si>
  <si>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</si>
  <si>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</si>
  <si>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</si>
  <si>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</si>
  <si>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</si>
  <si>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</si>
  <si>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</si>
  <si>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</si>
  <si>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</si>
  <si>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</si>
  <si>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</si>
  <si>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</si>
  <si>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</si>
  <si>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</si>
  <si>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</si>
  <si>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</si>
  <si>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</si>
  <si>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</si>
  <si>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</si>
  <si>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</si>
  <si>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</si>
  <si>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</si>
  <si>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</si>
  <si>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</si>
  <si>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</si>
  <si>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</si>
  <si>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</si>
  <si>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</si>
  <si>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</si>
  <si>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</si>
  <si>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</si>
  <si>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</si>
  <si>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</si>
  <si>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</si>
  <si>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</si>
  <si>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</si>
  <si>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</si>
  <si>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</si>
  <si>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</si>
  <si>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</si>
  <si>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</si>
  <si>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</si>
  <si>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</si>
  <si>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</si>
  <si>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</si>
  <si>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</si>
  <si>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</si>
  <si>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</si>
  <si>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</si>
  <si>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</si>
  <si>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</si>
  <si>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</si>
  <si>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</si>
  <si>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</si>
  <si>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</si>
  <si>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</si>
  <si>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</si>
  <si>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</si>
  <si>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</si>
  <si>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</si>
  <si>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</si>
  <si>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</si>
  <si>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</si>
  <si>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</si>
  <si>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</si>
  <si>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</si>
  <si>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</si>
  <si>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</si>
  <si>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</si>
  <si>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</si>
  <si>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</si>
  <si>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</si>
  <si>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</si>
  <si>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</si>
  <si>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</si>
  <si>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</si>
  <si>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</si>
  <si>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</si>
  <si>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</si>
  <si>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</si>
  <si>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</si>
  <si>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</si>
  <si>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</si>
  <si>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</si>
  <si>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</si>
  <si>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</si>
  <si>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</si>
  <si>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</si>
  <si>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</si>
  <si>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</si>
  <si>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</si>
  <si>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</si>
  <si>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</si>
  <si>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</si>
  <si>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</si>
  <si>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</si>
  <si>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</si>
  <si>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</si>
  <si>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</si>
  <si>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</si>
  <si>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</si>
  <si>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</si>
  <si>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</si>
  <si>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</si>
  <si>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</si>
  <si>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</si>
  <si>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</si>
  <si>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</si>
  <si>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</si>
  <si>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</si>
  <si>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</si>
  <si>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</si>
  <si>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</si>
  <si>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</si>
  <si>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</si>
  <si>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</si>
  <si>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</si>
  <si>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</si>
  <si>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</si>
  <si>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</si>
  <si>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</si>
  <si>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</si>
  <si>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</si>
  <si>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</si>
  <si>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</si>
  <si>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</si>
  <si>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</si>
  <si>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</si>
  <si>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</si>
  <si>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</si>
  <si>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</si>
  <si>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</si>
  <si>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</si>
  <si>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</si>
  <si>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</si>
  <si>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</si>
  <si>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</si>
  <si>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</si>
  <si>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</si>
  <si>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</si>
  <si>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</si>
  <si>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</si>
  <si>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</si>
  <si>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</si>
  <si>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</si>
  <si>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</si>
  <si>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</si>
  <si>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</si>
  <si>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</si>
  <si>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</si>
  <si>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</si>
  <si>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</si>
  <si>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</si>
  <si>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</si>
  <si>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</si>
  <si>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</si>
  <si>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</si>
  <si>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</si>
  <si>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</si>
  <si>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</si>
  <si>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</si>
  <si>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</si>
  <si>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</si>
  <si>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</si>
  <si>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</si>
  <si>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</si>
  <si>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</si>
  <si>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</si>
  <si>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</si>
  <si>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</si>
  <si>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</si>
  <si>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</si>
  <si>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</si>
  <si>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</si>
  <si>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</si>
  <si>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</si>
  <si>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</si>
  <si>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</si>
  <si>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</si>
  <si>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</si>
  <si>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</si>
  <si>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</si>
  <si>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</si>
  <si>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</si>
  <si>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</si>
  <si>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</si>
  <si>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</si>
  <si>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</si>
  <si>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</si>
  <si>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</si>
  <si>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</si>
  <si>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</si>
  <si>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</si>
  <si>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</si>
  <si>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</si>
  <si>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</si>
  <si>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A POBRA DE TRIVES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</si>
</sst>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nARRcgEsdzzLCcijUYNkBJ7ErikCBez3RGwBF5OBakzg+xNEF69g73MAga2DOYwqFPO9kI/nGwv5MocpsIFoQ==" saltValue="mK0zpZfi0kjfYN7m8O3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17.866242038216562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172</v>
      </c>
      <c r="D16" s="225">
        <f>IF(ISNUMBER(IF(D_I="SI",Datos!I16,Datos!I16+Datos!AC16)),IF(D_I="SI",Datos!I16,Datos!I16+Datos!AC16)," - ")</f>
        <v>169</v>
      </c>
      <c r="E16" s="226">
        <f>IF(ISNUMBER(IF(D_I="SI",Datos!J16,Datos!J16+Datos!AD16)),IF(D_I="SI",Datos!J16,Datos!J16+Datos!AD16)," - ")</f>
        <v>65</v>
      </c>
      <c r="F16" s="226">
        <f>IF(ISNUMBER(IF(D_I="SI",Datos!K16,Datos!K16+Datos!AE16)),IF(D_I="SI",Datos!K16,Datos!K16+Datos!AE16)," - ")</f>
        <v>84</v>
      </c>
      <c r="G16" s="1034" t="str">
        <f>IF(Datos!E16&lt;&gt;"",Datos!E16,Datos!D16)</f>
        <v>04</v>
      </c>
      <c r="H16" s="227">
        <f>IF(ISNUMBER(IF(D_I="SI",Datos!L16,Datos!L16+Datos!AF16)),IF(D_I="SI",Datos!L16,Datos!L16+Datos!AF16)," - ")</f>
        <v>153</v>
      </c>
      <c r="I16" s="1044" t="str">
        <f>IF(ISNUMBER(Datos!AS16/Datos!BM16),Datos!AS16/Datos!BM16," - ")</f>
        <v xml:space="preserve"> - </v>
      </c>
      <c r="J16" s="1045">
        <f>IF(ISNUMBER(Datos!BY16/Datos!CN16),Datos!BY16/Datos!CN16," - ")</f>
        <v>0</v>
      </c>
      <c r="K16" s="230">
        <f t="shared" si="3"/>
        <v>-0.11046511627906977</v>
      </c>
      <c r="L16" s="1025">
        <f>IF(ISNUMBER(NºAsuntos!I16/NºAsuntos!G16),(NºAsuntos!I16/NºAsuntos!G16)*11," - ")</f>
        <v>20.035714285714285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7</v>
      </c>
      <c r="F17" s="226">
        <f>IF(ISNUMBER(IF(D_I="SI",Datos!K17,Datos!K17+Datos!AE17)),IF(D_I="SI",Datos!K17,Datos!K17+Datos!AE17)," - ")</f>
        <v>8</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181</v>
      </c>
      <c r="D18" s="1049">
        <f>SUBTOTAL(9,D15:D17)</f>
        <v>178</v>
      </c>
      <c r="E18" s="1050">
        <f>SUBTOTAL(9,E15:E17)</f>
        <v>72</v>
      </c>
      <c r="F18" s="1050">
        <f>SUBTOTAL(9,F15:F17)</f>
        <v>92</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v>
      </c>
      <c r="D19" s="1071">
        <f>SUBTOTAL(9,D9:D18)</f>
        <v>180</v>
      </c>
      <c r="E19" s="1072">
        <f>SUBTOTAL(9,E9:E18)</f>
        <v>72</v>
      </c>
      <c r="F19" s="1072">
        <f>SUBTOTAL(9,F9:F18)</f>
        <v>92</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jouWUgd1TP4HT9eorcRaSlBhDn9V/1/uVYagsraPCp+6bMUlgcOaSBwUjVIhDmCwzUSeEQPJbsexl7i3PyJNg==" saltValue="gzY+kun2yOJDBaX1hfoz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D2kJJiiS8N3ETHdqTI6Jy8PoAF7geDTcjkLezagieAUDqw3kti12/C2HFAMvPPpH/dKNkX11+5HNXx4uUNI9w==" saltValue="JiN/CknielJsiOMbRBIA1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2</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186</v>
      </c>
      <c r="J12" s="183">
        <v>128</v>
      </c>
      <c r="K12" s="183">
        <v>112</v>
      </c>
      <c r="L12" s="183">
        <v>202</v>
      </c>
      <c r="M12" s="183">
        <v>29</v>
      </c>
      <c r="N12" s="183">
        <v>94</v>
      </c>
      <c r="O12" s="181">
        <v>62</v>
      </c>
      <c r="P12" s="183">
        <v>16</v>
      </c>
      <c r="Q12" s="183">
        <v>12</v>
      </c>
      <c r="R12" s="183">
        <v>253</v>
      </c>
      <c r="S12" s="183">
        <v>156</v>
      </c>
      <c r="T12" s="183">
        <v>76</v>
      </c>
      <c r="U12" s="183">
        <v>51</v>
      </c>
      <c r="V12" s="183">
        <v>181</v>
      </c>
      <c r="W12" s="183">
        <v>7</v>
      </c>
      <c r="X12" s="189">
        <v>48</v>
      </c>
      <c r="Y12" s="191">
        <v>63</v>
      </c>
      <c r="Z12" s="181">
        <v>35</v>
      </c>
      <c r="AA12" s="181">
        <v>45</v>
      </c>
      <c r="AB12" s="181">
        <v>53</v>
      </c>
      <c r="AC12" s="183">
        <v>0</v>
      </c>
      <c r="AD12" s="183">
        <v>0</v>
      </c>
      <c r="AE12" s="183">
        <v>0</v>
      </c>
      <c r="AF12" s="189">
        <v>0</v>
      </c>
      <c r="AG12" s="202">
        <v>106</v>
      </c>
      <c r="AH12" s="183">
        <v>44</v>
      </c>
      <c r="AI12" s="183">
        <v>47</v>
      </c>
      <c r="AJ12" s="203">
        <v>103</v>
      </c>
      <c r="AK12" s="182">
        <v>0</v>
      </c>
      <c r="AL12" s="183">
        <v>0</v>
      </c>
      <c r="AM12" s="183">
        <v>0</v>
      </c>
      <c r="AN12" s="189">
        <v>0</v>
      </c>
      <c r="AO12" s="259">
        <v>1</v>
      </c>
      <c r="AP12" s="155">
        <v>1</v>
      </c>
      <c r="AQ12" s="155">
        <v>1</v>
      </c>
      <c r="AR12" s="154">
        <v>1</v>
      </c>
      <c r="AS12" s="340" t="s">
        <v>802</v>
      </c>
      <c r="AT12" s="203"/>
      <c r="AU12" s="202"/>
      <c r="AV12" s="203"/>
      <c r="AW12" s="202"/>
      <c r="AX12" s="203"/>
      <c r="AY12" s="126">
        <f t="shared" si="1"/>
        <v>262</v>
      </c>
      <c r="AZ12" s="127">
        <f t="shared" si="1"/>
        <v>120</v>
      </c>
      <c r="BA12" s="127">
        <f t="shared" si="1"/>
        <v>98</v>
      </c>
      <c r="BB12" s="127">
        <f t="shared" si="1"/>
        <v>284</v>
      </c>
      <c r="BC12" s="125">
        <f>IF(ISNUMBER(X12),X12," - ")</f>
        <v>48</v>
      </c>
      <c r="BD12" s="126">
        <f t="shared" si="2"/>
        <v>0.81666666666666665</v>
      </c>
      <c r="BE12" s="127">
        <f t="shared" si="3"/>
        <v>2.8979591836734695</v>
      </c>
      <c r="BF12" s="127">
        <f t="shared" si="4"/>
        <v>0.48979591836734693</v>
      </c>
      <c r="BG12" s="196">
        <f t="shared" si="5"/>
        <v>3.8979591836734695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v>
      </c>
      <c r="J13" s="184">
        <f t="shared" si="6"/>
        <v>128</v>
      </c>
      <c r="K13" s="184">
        <f t="shared" si="6"/>
        <v>112</v>
      </c>
      <c r="L13" s="184">
        <f t="shared" si="6"/>
        <v>204</v>
      </c>
      <c r="M13" s="184">
        <f t="shared" si="6"/>
        <v>29</v>
      </c>
      <c r="N13" s="184">
        <f t="shared" si="6"/>
        <v>94</v>
      </c>
      <c r="O13" s="184">
        <f t="shared" si="6"/>
        <v>62</v>
      </c>
      <c r="P13" s="184">
        <f t="shared" si="6"/>
        <v>16</v>
      </c>
      <c r="Q13" s="184">
        <f t="shared" si="6"/>
        <v>12</v>
      </c>
      <c r="R13" s="184">
        <f t="shared" si="6"/>
        <v>253</v>
      </c>
      <c r="S13" s="184">
        <f t="shared" si="6"/>
        <v>158</v>
      </c>
      <c r="T13" s="184">
        <f t="shared" si="6"/>
        <v>76</v>
      </c>
      <c r="U13" s="184">
        <f t="shared" si="6"/>
        <v>51</v>
      </c>
      <c r="V13" s="184">
        <f t="shared" si="6"/>
        <v>183</v>
      </c>
      <c r="W13" s="184">
        <f t="shared" si="6"/>
        <v>7</v>
      </c>
      <c r="X13" s="184">
        <f t="shared" si="6"/>
        <v>48</v>
      </c>
      <c r="Y13" s="184">
        <f t="shared" si="6"/>
        <v>63</v>
      </c>
      <c r="Z13" s="184">
        <f t="shared" si="6"/>
        <v>35</v>
      </c>
      <c r="AA13" s="184">
        <f t="shared" si="6"/>
        <v>45</v>
      </c>
      <c r="AB13" s="184">
        <f t="shared" si="6"/>
        <v>53</v>
      </c>
      <c r="AC13" s="184">
        <f t="shared" si="6"/>
        <v>0</v>
      </c>
      <c r="AD13" s="184">
        <f t="shared" si="6"/>
        <v>0</v>
      </c>
      <c r="AE13" s="184">
        <f t="shared" si="6"/>
        <v>0</v>
      </c>
      <c r="AF13" s="184">
        <f>SUBTOTAL(9,AF9:AF12)</f>
        <v>0</v>
      </c>
      <c r="AG13" s="184">
        <f t="shared" ref="AG13:AT13" si="7">SUBTOTAL(9,AG8:AG12)</f>
        <v>106</v>
      </c>
      <c r="AH13" s="184">
        <f t="shared" si="7"/>
        <v>44</v>
      </c>
      <c r="AI13" s="184">
        <f t="shared" si="7"/>
        <v>47</v>
      </c>
      <c r="AJ13" s="184">
        <f t="shared" si="7"/>
        <v>103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264</v>
      </c>
      <c r="AZ13" s="184">
        <f>SUBTOTAL(9,AZ8:AZ12)</f>
        <v>120</v>
      </c>
      <c r="BA13" s="184">
        <f>SUBTOTAL(9,BA8:BA12)</f>
        <v>98</v>
      </c>
      <c r="BB13" s="184">
        <f>SUBTOTAL(9,BB8:BB12)</f>
        <v>286</v>
      </c>
      <c r="BC13" s="184">
        <f>SUBTOTAL(9,BC8:BC12)</f>
        <v>48</v>
      </c>
      <c r="BD13" s="205">
        <f>IF(ISNUMBER(BA13/AZ13),BA13/AZ13," - ")</f>
        <v>0.81666666666666665</v>
      </c>
      <c r="BE13" s="206">
        <f>IF(ISNUMBER(BB13/BA13),BB13/BA13, " - ")</f>
        <v>2.9183673469387754</v>
      </c>
      <c r="BF13" s="206">
        <f>IF(ISNUMBER(BC13/BA13),BC13/BA13, " - ")</f>
        <v>0.48979591836734693</v>
      </c>
      <c r="BG13" s="207">
        <f>IF(ISNUMBER((AY13+AZ13)/BA13),(AY13+AZ13)/BA13," - ")</f>
        <v>3.9183673469387754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169</v>
      </c>
      <c r="J16" s="183">
        <v>65</v>
      </c>
      <c r="K16" s="183">
        <v>84</v>
      </c>
      <c r="L16" s="183">
        <v>153</v>
      </c>
      <c r="M16" s="183">
        <v>10</v>
      </c>
      <c r="N16" s="183">
        <v>59</v>
      </c>
      <c r="O16" s="181">
        <v>0</v>
      </c>
      <c r="P16" s="183">
        <v>0</v>
      </c>
      <c r="Q16" s="183">
        <v>1</v>
      </c>
      <c r="R16" s="183">
        <v>9</v>
      </c>
      <c r="S16" s="183">
        <v>155</v>
      </c>
      <c r="T16" s="183">
        <v>64</v>
      </c>
      <c r="U16" s="183">
        <v>78</v>
      </c>
      <c r="V16" s="183">
        <v>141</v>
      </c>
      <c r="W16" s="183">
        <v>11</v>
      </c>
      <c r="X16" s="189">
        <v>52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155</v>
      </c>
      <c r="AZ16" s="127">
        <f t="shared" si="9"/>
        <v>64</v>
      </c>
      <c r="BA16" s="127">
        <f t="shared" si="9"/>
        <v>78</v>
      </c>
      <c r="BB16" s="127">
        <f t="shared" si="9"/>
        <v>141</v>
      </c>
      <c r="BC16" s="125">
        <f>IF(ISNUMBER(W16),W16," - ")</f>
        <v>11</v>
      </c>
      <c r="BD16" s="126">
        <f t="shared" ref="BD16" si="11">IF(ISNUMBER(BA16/AZ16),BA16/AZ16," - ")</f>
        <v>1.21875</v>
      </c>
      <c r="BE16" s="127">
        <f t="shared" ref="BE16" si="12">IF(ISNUMBER(BB16/BA16),BB16/BA16, " - ")</f>
        <v>1.8076923076923077</v>
      </c>
      <c r="BF16" s="127">
        <f t="shared" ref="BF16" si="13">IF(ISNUMBER(BC16/BA16),BC16/BA16, " - ")</f>
        <v>0.14102564102564102</v>
      </c>
      <c r="BG16" s="196">
        <f t="shared" si="10"/>
        <v>2.8076923076923075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7</v>
      </c>
      <c r="K17" s="183">
        <v>8</v>
      </c>
      <c r="L17" s="183">
        <v>8</v>
      </c>
      <c r="M17" s="183">
        <v>0</v>
      </c>
      <c r="N17" s="183">
        <v>2</v>
      </c>
      <c r="O17" s="183">
        <v>0</v>
      </c>
      <c r="P17" s="183">
        <v>0</v>
      </c>
      <c r="Q17" s="183">
        <v>0</v>
      </c>
      <c r="R17" s="183">
        <v>0</v>
      </c>
      <c r="S17" s="183">
        <v>12</v>
      </c>
      <c r="T17" s="183">
        <v>8</v>
      </c>
      <c r="U17" s="183">
        <v>8</v>
      </c>
      <c r="V17" s="183">
        <v>12</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8</v>
      </c>
      <c r="BA17" s="129">
        <f t="shared" si="14"/>
        <v>8</v>
      </c>
      <c r="BB17" s="129">
        <f t="shared" si="14"/>
        <v>12</v>
      </c>
      <c r="BC17" s="125">
        <f>IF(ISNUMBER(W17),W17," - ")</f>
        <v>0</v>
      </c>
      <c r="BD17" s="126">
        <f>IF(ISNUMBER(BA17/AZ17),BA17/AZ17," - ")</f>
        <v>1</v>
      </c>
      <c r="BE17" s="127">
        <f>IF(ISNUMBER(BB17/BA17),BB17/BA17, " - ")</f>
        <v>1.5</v>
      </c>
      <c r="BF17" s="127">
        <f>IF(ISNUMBER(BC17/BA17),BC17/BA17, " - ")</f>
        <v>0</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v>
      </c>
      <c r="J18" s="184">
        <f t="shared" si="15"/>
        <v>72</v>
      </c>
      <c r="K18" s="184">
        <f t="shared" si="15"/>
        <v>92</v>
      </c>
      <c r="L18" s="184">
        <f t="shared" si="15"/>
        <v>161</v>
      </c>
      <c r="M18" s="184">
        <f t="shared" si="15"/>
        <v>10</v>
      </c>
      <c r="N18" s="184">
        <f t="shared" si="15"/>
        <v>61</v>
      </c>
      <c r="O18" s="184">
        <f t="shared" si="15"/>
        <v>0</v>
      </c>
      <c r="P18" s="184">
        <f t="shared" si="15"/>
        <v>0</v>
      </c>
      <c r="Q18" s="184">
        <f t="shared" si="15"/>
        <v>1</v>
      </c>
      <c r="R18" s="184">
        <f t="shared" si="15"/>
        <v>9</v>
      </c>
      <c r="S18" s="184">
        <f t="shared" si="15"/>
        <v>167</v>
      </c>
      <c r="T18" s="184">
        <f t="shared" si="15"/>
        <v>72</v>
      </c>
      <c r="U18" s="184">
        <f t="shared" si="15"/>
        <v>86</v>
      </c>
      <c r="V18" s="184">
        <f t="shared" si="15"/>
        <v>153</v>
      </c>
      <c r="W18" s="184">
        <f t="shared" si="15"/>
        <v>11</v>
      </c>
      <c r="X18" s="184">
        <f t="shared" si="15"/>
        <v>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167</v>
      </c>
      <c r="AZ18" s="184">
        <f>SUBTOTAL(9,AZ14:AZ17)</f>
        <v>72</v>
      </c>
      <c r="BA18" s="184">
        <f>SUBTOTAL(9,BA14:BA17)</f>
        <v>86</v>
      </c>
      <c r="BB18" s="184">
        <f>SUBTOTAL(9,BB14:BB17)</f>
        <v>153</v>
      </c>
      <c r="BC18" s="184">
        <f>SUBTOTAL(9,BC14:BC17)</f>
        <v>11</v>
      </c>
      <c r="BD18" s="205">
        <f>IF(ISNUMBER(BA18/AZ18),BA18/AZ18," - ")</f>
        <v>1.1944444444444444</v>
      </c>
      <c r="BE18" s="206">
        <f>IF(ISNUMBER(BB18/BA18),BB18/BA18, " - ")</f>
        <v>1.7790697674418605</v>
      </c>
      <c r="BF18" s="206">
        <f>IF(ISNUMBER(BC18/BA18),BC18/BA18, " - ")</f>
        <v>0.12790697674418605</v>
      </c>
      <c r="BG18" s="207">
        <f>IF(ISNUMBER((AY18+AZ18)/BA18),(AY18+AZ18)/BA18," - ")</f>
        <v>2.7790697674418605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366</v>
      </c>
      <c r="J19" s="134">
        <f t="shared" si="18"/>
        <v>200</v>
      </c>
      <c r="K19" s="134">
        <f t="shared" si="18"/>
        <v>204</v>
      </c>
      <c r="L19" s="134">
        <f t="shared" si="18"/>
        <v>365</v>
      </c>
      <c r="M19" s="134">
        <f t="shared" si="18"/>
        <v>39</v>
      </c>
      <c r="N19" s="134">
        <f t="shared" si="18"/>
        <v>155</v>
      </c>
      <c r="O19" s="134">
        <f t="shared" si="18"/>
        <v>62</v>
      </c>
      <c r="P19" s="134">
        <f t="shared" si="18"/>
        <v>16</v>
      </c>
      <c r="Q19" s="134">
        <f t="shared" si="18"/>
        <v>13</v>
      </c>
      <c r="R19" s="134">
        <f t="shared" si="18"/>
        <v>262</v>
      </c>
      <c r="S19" s="134">
        <f t="shared" si="18"/>
        <v>325</v>
      </c>
      <c r="T19" s="134">
        <f t="shared" si="18"/>
        <v>148</v>
      </c>
      <c r="U19" s="134">
        <f t="shared" si="18"/>
        <v>137</v>
      </c>
      <c r="V19" s="134">
        <f t="shared" si="18"/>
        <v>336</v>
      </c>
      <c r="W19" s="134">
        <f t="shared" si="18"/>
        <v>18</v>
      </c>
      <c r="X19" s="134">
        <f t="shared" si="18"/>
        <v>108</v>
      </c>
      <c r="Y19" s="134">
        <f t="shared" si="18"/>
        <v>63</v>
      </c>
      <c r="Z19" s="134">
        <f t="shared" si="18"/>
        <v>35</v>
      </c>
      <c r="AA19" s="134">
        <f t="shared" si="18"/>
        <v>45</v>
      </c>
      <c r="AB19" s="134">
        <f t="shared" si="18"/>
        <v>53</v>
      </c>
      <c r="AC19" s="134">
        <f t="shared" si="18"/>
        <v>0</v>
      </c>
      <c r="AD19" s="134">
        <f t="shared" si="18"/>
        <v>0</v>
      </c>
      <c r="AE19" s="134">
        <f t="shared" si="18"/>
        <v>0</v>
      </c>
      <c r="AF19" s="134">
        <f t="shared" si="18"/>
        <v>0</v>
      </c>
      <c r="AG19" s="134">
        <f t="shared" si="18"/>
        <v>106</v>
      </c>
      <c r="AH19" s="134">
        <f t="shared" si="18"/>
        <v>44</v>
      </c>
      <c r="AI19" s="134">
        <f t="shared" si="18"/>
        <v>47</v>
      </c>
      <c r="AJ19" s="134">
        <f t="shared" si="18"/>
        <v>103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431</v>
      </c>
      <c r="AZ19" s="134">
        <f>SUBTOTAL(9,AZ9:AZ18)</f>
        <v>192</v>
      </c>
      <c r="BA19" s="134">
        <f>SUBTOTAL(9,BA9:BA18)</f>
        <v>184</v>
      </c>
      <c r="BB19" s="134">
        <f>SUBTOTAL(9,BB9:BB18)</f>
        <v>439</v>
      </c>
      <c r="BC19" s="135">
        <f>SUBTOTAL(9,BC9:BC18)</f>
        <v>59</v>
      </c>
      <c r="BD19" s="213">
        <f>IF(ISNUMBER(BA19/AZ19),BA19/AZ19," - ")</f>
        <v>0.95833333333333337</v>
      </c>
      <c r="BE19" s="210">
        <f>IF(ISNUMBER(BB19/BA19),BB19/BA19, " - ")</f>
        <v>2.3858695652173911</v>
      </c>
      <c r="BF19" s="210">
        <f>IF(ISNUMBER(BC19/BA19),BC19/BA19, " - ")</f>
        <v>0.32065217391304346</v>
      </c>
      <c r="BG19" s="135">
        <f>IF(ISNUMBER((AY19+AZ19)/BA19),(AY19+AZ19)/BA19," - ")</f>
        <v>3.3858695652173911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cy+obWUtM/WuDHRS0tjH99+ylgpoBFH5S+48ea4pqC2dz7wPshuvM23x1S557wdSB3htqdNlrC51Ns4k57nkg==" saltValue="Exk0R2mCcM31aCRMTR/V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D5ORHutythZvYDQa/7KW/N/zVPqWMYy4JJ0gsui/+EipoEryCJxPsFcwND0udJHBSfv+OZHWG0Vgwi4tkpbw==" saltValue="iibLuUvSfdILPwVQIeQI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253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0.96319018404907975</v>
      </c>
      <c r="BH12" s="260">
        <f>IF(ISNUMBER(((IF(J_V="SI",Datos!L12/Datos!K12,(Datos!L12+Datos!AB12)/(Datos!K12+Datos!AA12)))*11)/factor_trimestre),((IF(J_V="SI",Datos!L12/Datos!K12,(Datos!L12+Datos!AB12)/(Datos!K12+Datos!AA12)))*11)/factor_trimestre," - ")</f>
        <v>4.8726114649681538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1.6064257028112448E-2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2</v>
      </c>
      <c r="AG13" s="899">
        <f t="shared" si="1"/>
        <v>0</v>
      </c>
      <c r="AH13" s="899">
        <f t="shared" si="1"/>
        <v>53</v>
      </c>
      <c r="AI13" s="899">
        <f t="shared" si="1"/>
        <v>0</v>
      </c>
      <c r="AJ13" s="899">
        <f t="shared" si="1"/>
        <v>0</v>
      </c>
      <c r="AK13" s="899">
        <f t="shared" si="1"/>
        <v>0</v>
      </c>
      <c r="AL13" s="899">
        <f t="shared" si="1"/>
        <v>0</v>
      </c>
      <c r="AM13" s="899">
        <f t="shared" si="1"/>
        <v>253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94</v>
      </c>
      <c r="BE13" s="899">
        <f t="shared" si="1"/>
        <v>0</v>
      </c>
      <c r="BF13" s="899">
        <f t="shared" si="1"/>
        <v>0</v>
      </c>
      <c r="BG13" s="899">
        <f>IF(ISNUMBER(Datos!K13/Datos!J13),Datos!K13/Datos!J13," - ")</f>
        <v>0.875</v>
      </c>
      <c r="BH13" s="903">
        <f>IF(ISNUMBER(((Datos!L13/Datos!K13)*11)/factor_trimestre),((Datos!L13/Datos!K13)*11)/factor_trimestre," - ")</f>
        <v>5.4642857142857144</v>
      </c>
      <c r="BI13" s="899">
        <f>IF(ISNUMBER('Resol  Asuntos'!D13/NºAsuntos!G13),'Resol  Asuntos'!D13/NºAsuntos!G13," - ")</f>
        <v>0.18471337579617833</v>
      </c>
      <c r="BJ13" s="899" t="str">
        <f>IF(ISNUMBER(Datos!CI13/Datos!CJ13),Datos!CI13/Datos!CJ13," - ")</f>
        <v xml:space="preserve"> - </v>
      </c>
      <c r="BK13" s="899">
        <f>SUBTOTAL(9,BK8:BK12)</f>
        <v>0</v>
      </c>
      <c r="BL13" s="899">
        <f>IF(ISNUMBER((I13-AB13+L13)/(F13)),(I13-AB13+L13)/(F13)," - ")</f>
        <v>0</v>
      </c>
      <c r="BM13" s="904">
        <f>SUBTOTAL(9,BM9:BM12)</f>
        <v>1.6064257028112448E-2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172</v>
      </c>
      <c r="G16" s="598">
        <f>IF(ISNUMBER(IF(D_I="SI",Datos!I16,Datos!I16+Datos!AC16)),IF(D_I="SI",Datos!I16,Datos!I16+Datos!AC16)," - ")</f>
        <v>169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v>
      </c>
      <c r="AC16" s="226">
        <f>IF(ISNUMBER(Datos!Q16),Datos!Q16," - ")</f>
        <v>1</v>
      </c>
      <c r="AD16" s="334"/>
      <c r="AE16" s="484"/>
      <c r="AF16" s="596">
        <f>IF(ISNUMBER(IF(D_I="SI",Datos!L16,Datos!L16+Datos!AF16)),IF(D_I="SI",Datos!L16,Datos!L16+Datos!AF16)," - ")</f>
        <v>153</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1.2923076923076924</v>
      </c>
      <c r="BH16" s="260">
        <f>IF(ISNUMBER(((IF(D_I="SI",Datos!L16/Datos!K16,(Datos!L16+Datos!AF16)/(Datos!K16+Datos!AE16)))*11)/factor_trimestre),((IF(D_I="SI",Datos!L16/Datos!K16,(Datos!L16+Datos!AF16)/(Datos!K16+Datos!AE16)))*11)/factor_trimestre," - ")</f>
        <v>5.4642857142857144</v>
      </c>
      <c r="BI16" s="243">
        <f>IF(ISNUMBER('Resol  Asuntos'!D16/NºAsuntos!G16),'Resol  Asuntos'!D16/NºAsuntos!G16," - ")</f>
        <v>0.11904761904761904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1.1428571428571428</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172</v>
      </c>
      <c r="G18" s="898">
        <f>SUBTOTAL(9,G15:G17)</f>
        <v>178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v>
      </c>
      <c r="AC18" s="899">
        <f t="shared" si="4"/>
        <v>1</v>
      </c>
      <c r="AD18" s="899">
        <f t="shared" si="4"/>
        <v>0</v>
      </c>
      <c r="AE18" s="899">
        <f t="shared" si="4"/>
        <v>0</v>
      </c>
      <c r="AF18" s="899">
        <f t="shared" si="4"/>
        <v>161</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61</v>
      </c>
      <c r="BE18" s="899">
        <f t="shared" si="4"/>
        <v>0</v>
      </c>
      <c r="BF18" s="899">
        <f t="shared" si="4"/>
        <v>0</v>
      </c>
      <c r="BG18" s="899">
        <f>IF(ISNUMBER(Datos!K18/Datos!J18),Datos!K18/Datos!J18," - ")</f>
        <v>1.2777777777777777</v>
      </c>
      <c r="BH18" s="903">
        <f>IF(ISNUMBER(((Datos!L18/Datos!K18)*11)/factor_trimestre),((Datos!L18/Datos!K18)*11)/factor_trimestre," - ")</f>
        <v>5.25</v>
      </c>
      <c r="BI18" s="899">
        <f>SUBTOTAL(9,BI15:BI17)</f>
        <v>0.11904761904761904</v>
      </c>
      <c r="BJ18" s="899">
        <f>SUBTOTAL(9,BJ15:BJ17)</f>
        <v>0</v>
      </c>
      <c r="BK18" s="899">
        <f>SUBTOTAL(9,BK15:BK17)</f>
        <v>0</v>
      </c>
      <c r="BL18" s="899">
        <f>IF(ISNUMBER((I18-AB18+L18)/(F18)),(I18-AB18+L18)/(F18)," - ")</f>
        <v>-0.53488372093023251</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174</v>
      </c>
      <c r="G19" s="820">
        <f t="shared" si="6"/>
        <v>180</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v>
      </c>
      <c r="AC19" s="821">
        <f t="shared" si="7"/>
        <v>13</v>
      </c>
      <c r="AD19" s="821">
        <f t="shared" si="7"/>
        <v>0</v>
      </c>
      <c r="AE19" s="821">
        <f t="shared" si="7"/>
        <v>0</v>
      </c>
      <c r="AF19" s="828">
        <f t="shared" si="7"/>
        <v>163</v>
      </c>
      <c r="AG19" s="828">
        <f t="shared" si="7"/>
        <v>0</v>
      </c>
      <c r="AH19" s="828">
        <f t="shared" si="7"/>
        <v>53</v>
      </c>
      <c r="AI19" s="828">
        <f t="shared" si="7"/>
        <v>0</v>
      </c>
      <c r="AJ19" s="821">
        <f t="shared" si="7"/>
        <v>0</v>
      </c>
      <c r="AK19" s="828">
        <f t="shared" si="7"/>
        <v>0</v>
      </c>
      <c r="AL19" s="828">
        <f t="shared" si="7"/>
        <v>0</v>
      </c>
      <c r="AM19" s="828">
        <f t="shared" si="7"/>
        <v>262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v>
      </c>
      <c r="BD19" s="820">
        <f t="shared" si="7"/>
        <v>155</v>
      </c>
      <c r="BE19" s="820">
        <f t="shared" si="7"/>
        <v>0</v>
      </c>
      <c r="BF19" s="830">
        <f t="shared" si="7"/>
        <v>0</v>
      </c>
      <c r="BG19" s="915">
        <f>IF(ISNUMBER(Datos!K19/Datos!J19),Datos!K19/Datos!J19," - ")</f>
        <v>1.02</v>
      </c>
      <c r="BH19" s="915">
        <f>IF(ISNUMBER(((Datos!L19/Datos!K19)*11)/factor_trimestre),((Datos!L19/Datos!K19)*11)/factor_trimestre," - ")</f>
        <v>5.3676470588235299</v>
      </c>
      <c r="BI19" s="813">
        <f>IF(ISNUMBER(Datos!J19/Datos!I19),Datos!J19/Datos!I19," - ")</f>
        <v>0.54644808743169404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-0.52873563218390807</v>
      </c>
      <c r="BM19" s="889">
        <f>IF(ISNUMBER((Datos!P19-Datos!Q19+R19)/(Datos!R19-Datos!P19+Datos!Q19-R19)),(Datos!P19-Datos!Q19+R19)/(Datos!R19-Datos!P19+Datos!Q19-R19)," - ")</f>
        <v>1.1583011583011582E-2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98.149545762236386</v>
      </c>
      <c r="G21" s="552">
        <f>IF(ISNUMBER(STDEV(G8:G18)),STDEV(G8:G18),"-")</f>
        <v>92.755053770670628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46.938257317459069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13.175735273600482</v>
      </c>
      <c r="BD21" s="551"/>
      <c r="BE21" s="551">
        <f>IF(ISNUMBER(STDEV(BE8:BE18)),STDEV(BE8:BE18),"-")</f>
        <v>0</v>
      </c>
      <c r="BF21" s="556">
        <f>IF(ISNUMBER(STDEV(BF8:BF18)),STDEV(BF8:BF18),"-")</f>
        <v>0</v>
      </c>
      <c r="BG21" s="775">
        <f>IF(ISNUMBER(STDEV(BG8:BG18)),STDEV(BG8:BG18),"-")</f>
        <v>0.18657634807303383</v>
      </c>
      <c r="BH21" s="776">
        <f>IF(ISNUMBER(STDEV(BH8:BH18)),STDEV(BH8:BH18),"-")</f>
        <v>1.0404085144229132</v>
      </c>
      <c r="BI21" s="249">
        <f>IF(ISNUMBER(STDEV(BI8:BI18)),STDEV(BI8:BI18),"-")</f>
        <v>7.696735542778084E-2</v>
      </c>
      <c r="BJ21" s="230" t="str">
        <f>IF(ISNUMBER(BL21/BM21),BL21/BM21," - ")</f>
        <v xml:space="preserve"> - </v>
      </c>
      <c r="BK21" s="575"/>
      <c r="BL21" s="559">
        <f>IF(ISNUMBER(STDEV(BL8:BL18)),STDEV(BL8:BL18),"-")</f>
        <v>0.37821990621606028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1uFUtmbgBpAT09cKGjdT5JlCcJO0GYNHTxXbtkFp73FYQshagxO9P/R3osaMWiEgFGwsK3NqfxehwhsdwKBw==" saltValue="CrRiUsFFQt/0iNPvBqF4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A POBRA DE TRIVES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253</v>
      </c>
      <c r="AF12" s="229" t="str">
        <f>IF(ISNUMBER(Datos!BV12),Datos!BV12," - ")</f>
        <v xml:space="preserve"> - </v>
      </c>
      <c r="AG12" s="225" t="str">
        <f>IF(ISNUMBER(Datos!DV12),Datos!DV12," - ")</f>
        <v xml:space="preserve"> - </v>
      </c>
      <c r="AH12" s="298"/>
      <c r="AI12" s="227"/>
      <c r="AJ12" s="225">
        <f>IF(ISNUMBER(Datos!M12),Datos!M12," - ")</f>
        <v>29</v>
      </c>
      <c r="AK12" s="229">
        <f>IF(ISNUMBER(Datos!N12),Datos!N12," - ")</f>
        <v>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4.8726114649681538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1.6064257028112448E-2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2</v>
      </c>
      <c r="AB13" s="900">
        <f t="shared" si="2"/>
        <v>0</v>
      </c>
      <c r="AC13" s="900">
        <f t="shared" si="2"/>
        <v>0</v>
      </c>
      <c r="AD13" s="900">
        <f t="shared" si="2"/>
        <v>0</v>
      </c>
      <c r="AE13" s="900">
        <f t="shared" si="2"/>
        <v>253</v>
      </c>
      <c r="AF13" s="908">
        <f t="shared" si="2"/>
        <v>0</v>
      </c>
      <c r="AG13" s="908">
        <f t="shared" si="2"/>
        <v>0</v>
      </c>
      <c r="AH13" s="908">
        <f t="shared" si="2"/>
        <v>0</v>
      </c>
      <c r="AI13" s="908">
        <f t="shared" si="2"/>
        <v>0</v>
      </c>
      <c r="AJ13" s="908">
        <f t="shared" si="2"/>
        <v>29</v>
      </c>
      <c r="AK13" s="908">
        <f t="shared" si="2"/>
        <v>94</v>
      </c>
      <c r="AL13" s="908">
        <f t="shared" si="2"/>
        <v>0</v>
      </c>
      <c r="AM13" s="908">
        <f t="shared" si="2"/>
        <v>0</v>
      </c>
      <c r="AN13" s="908">
        <f t="shared" si="2"/>
        <v>0</v>
      </c>
      <c r="AO13" s="904">
        <f>IF(ISNUMBER(((NºAsuntos!I13/NºAsuntos!G13)*11)/factor_trimestre),((NºAsuntos!I13/NºAsuntos!G13)*11)/factor_trimestre," - ")</f>
        <v>4.9108280254777075</v>
      </c>
      <c r="AP13" s="910" t="str">
        <f>IF(ISNUMBER(Datos!CI13/Datos!CJ13),Datos!CI13/Datos!CJ13," - ")</f>
        <v xml:space="preserve"> - </v>
      </c>
      <c r="AQ13" s="928">
        <f t="shared" ref="AQ13:AV13" si="3">SUBTOTAL(9,AQ9:AQ12)</f>
        <v>0</v>
      </c>
      <c r="AR13" s="928">
        <f t="shared" si="3"/>
        <v>1.6064257028112448E-2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172</v>
      </c>
      <c r="G16" s="225">
        <f>IF(ISNUMBER(IF(D_I="SI",Datos!I16,Datos!I16+Datos!AC16)),IF(D_I="SI",Datos!I16,Datos!I16+Datos!AC16)," - ")</f>
        <v>169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v>
      </c>
      <c r="Z16" s="619">
        <f>IF(ISNUMBER(Datos!Q16),Datos!Q16," - ")</f>
        <v>1</v>
      </c>
      <c r="AA16" s="332">
        <f>IF(ISNUMBER(IF(D_I="SI",Datos!L16,Datos!L16+Datos!AF16)),IF(D_I="SI",Datos!L16,Datos!L16+Datos!AF16)," - ")</f>
        <v>153</v>
      </c>
      <c r="AB16" s="334"/>
      <c r="AC16" s="334"/>
      <c r="AD16" s="484"/>
      <c r="AE16" s="484">
        <f>IF(ISNUMBER(Datos!R16),Datos!R16," - ")</f>
        <v>9</v>
      </c>
      <c r="AF16" s="229" t="str">
        <f>IF(ISNUMBER(Datos!BV16),Datos!BV16," - ")</f>
        <v xml:space="preserve"> - </v>
      </c>
      <c r="AG16" s="225"/>
      <c r="AH16" s="298"/>
      <c r="AI16" s="227"/>
      <c r="AJ16" s="225">
        <f>IF(ISNUMBER(Datos!M16),Datos!M16," - ")</f>
        <v>10</v>
      </c>
      <c r="AK16" s="229">
        <f>IF(ISNUMBER(Datos!N16),Datos!N16," - ")</f>
        <v>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5.4642857142857144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172</v>
      </c>
      <c r="G18" s="898">
        <f>SUBTOTAL(9,G15:G17)</f>
        <v>178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v>
      </c>
      <c r="Z18" s="932">
        <f t="shared" si="5"/>
        <v>1</v>
      </c>
      <c r="AA18" s="932">
        <f t="shared" si="5"/>
        <v>161</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10</v>
      </c>
      <c r="AK18" s="932">
        <f t="shared" si="5"/>
        <v>61</v>
      </c>
      <c r="AL18" s="932">
        <f t="shared" si="5"/>
        <v>0</v>
      </c>
      <c r="AM18" s="932">
        <f t="shared" si="5"/>
        <v>0</v>
      </c>
      <c r="AN18" s="932">
        <f t="shared" si="5"/>
        <v>0</v>
      </c>
      <c r="AO18" s="934">
        <f>IF(ISNUMBER(((NºAsuntos!I18/NºAsuntos!G18)*11)/factor_trimestre),((NºAsuntos!I18/NºAsuntos!G18)*11)/factor_trimestre," - ")</f>
        <v>5.25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174</v>
      </c>
      <c r="G19" s="820">
        <f t="shared" si="7"/>
        <v>180</v>
      </c>
      <c r="H19" s="821">
        <f t="shared" si="7"/>
        <v>0</v>
      </c>
      <c r="I19" s="820">
        <f t="shared" si="7"/>
        <v>0</v>
      </c>
      <c r="J19" s="822">
        <f t="shared" si="7"/>
        <v>0</v>
      </c>
      <c r="K19" s="820">
        <f t="shared" si="7"/>
        <v>0</v>
      </c>
      <c r="L19" s="823">
        <f t="shared" si="7"/>
        <v>0</v>
      </c>
      <c r="M19" s="820">
        <f t="shared" si="7"/>
        <v>0</v>
      </c>
      <c r="N19" s="821">
        <f t="shared" si="7"/>
        <v>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v>
      </c>
      <c r="Z19" s="827">
        <f t="shared" si="8"/>
        <v>13</v>
      </c>
      <c r="AA19" s="828">
        <f t="shared" si="8"/>
        <v>163</v>
      </c>
      <c r="AB19" s="828">
        <f t="shared" si="8"/>
        <v>0</v>
      </c>
      <c r="AC19" s="828">
        <f t="shared" si="8"/>
        <v>0</v>
      </c>
      <c r="AD19" s="829">
        <f t="shared" si="8"/>
        <v>0</v>
      </c>
      <c r="AE19" s="829">
        <f t="shared" si="8"/>
        <v>262</v>
      </c>
      <c r="AF19" s="830">
        <f t="shared" si="8"/>
        <v>0</v>
      </c>
      <c r="AG19" s="831">
        <f t="shared" si="8"/>
        <v>0</v>
      </c>
      <c r="AH19" s="832">
        <f t="shared" si="8"/>
        <v>0</v>
      </c>
      <c r="AI19" s="830">
        <f t="shared" si="8"/>
        <v>0</v>
      </c>
      <c r="AJ19" s="820">
        <f t="shared" si="8"/>
        <v>39</v>
      </c>
      <c r="AK19" s="820">
        <f t="shared" si="8"/>
        <v>155</v>
      </c>
      <c r="AL19" s="820">
        <f t="shared" si="8"/>
        <v>0</v>
      </c>
      <c r="AM19" s="833">
        <f t="shared" si="8"/>
        <v>0</v>
      </c>
      <c r="AN19" s="823">
        <f>IF(ISNUMBER(Datos!K19/Datos!J19),Datos!K19/Datos!J19," - ")</f>
        <v>1.02</v>
      </c>
      <c r="AO19" s="823">
        <f>IF(ISNUMBER(FIND("06",Criterios!A8,1)),(IF(ISNUMBER(((Datos!R19/Datos!Q19)*11)/factor_trimestre),((Datos!R19/Datos!Q19)*11)/factor_trimestre," - ")),(IF(ISNUMBER(((Datos!L19/Datos!K19)*11)/factor_trimestre),((Datos!L19/Datos!K19)*11)/factor_trimestre," - ")))</f>
        <v>5.3676470588235299</v>
      </c>
      <c r="AP19" s="834" t="str">
        <f>IF(ISNUMBER(Datos!CI19/Datos!CJ19),Datos!CI19/Datos!CJ19," - ")</f>
        <v xml:space="preserve"> - </v>
      </c>
      <c r="AQ19" s="834">
        <f>IF(OR(ISNUMBER(FIND("01",Criterios!A8,1)),ISNUMBER(FIND("02",Criterios!A8,1)),ISNUMBER(FIND("03",Criterios!A8,1)),ISNUMBER(FIND("04",Criterios!A8,1))),(J19-Y19+K19)/(F19-K19),(I19-Y19+K19)/(F19-K19))</f>
        <v>-0.52873563218390807</v>
      </c>
      <c r="AR19" s="834">
        <f>IF(ISNUMBER((Datos!P19-Datos!Q19+O19)/(Datos!R19-Datos!P19+Datos!Q19-O19)),(Datos!P19-Datos!Q19+O19)/(Datos!R19-Datos!P19+Datos!Q19-O19)," - ")</f>
        <v>1.1583011583011582E-2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98.149545762236386</v>
      </c>
      <c r="G21" s="552">
        <f>IF(ISNUMBER(STDEV(G8:G18)),STDEV(G8:G18),"-")</f>
        <v>92.755053770670628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13.175735273600482</v>
      </c>
      <c r="AK21" s="252"/>
      <c r="AL21" s="252">
        <f>IF(ISNUMBER(STDEV(AL8:AL18)),STDEV(AL8:AL18),"-")</f>
        <v>0</v>
      </c>
      <c r="AM21" s="254">
        <f>IF(ISNUMBER(STDEV(AM8:AM18)),STDEV(AM8:AM18),"-")</f>
        <v>0</v>
      </c>
      <c r="AN21" s="539">
        <f>IF(ISNUMBER(STDEV(AN8:AN18)),STDEV(AN8:AN18),"-")</f>
        <v>0</v>
      </c>
      <c r="AO21" s="540">
        <f>IF(ISNUMBER(STDEV(AO8:AO18)),STDEV(AO8:AO18),"-")</f>
        <v>0.98118229604490204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VJIJHiFKzEnNnhjM0q60SjBbcmZ/yryh65sd0L7/fmZOZv7uveksHKGXUWO4KngNa7JlP5sI3OGQw22XAYpEA==" saltValue="eFuZLgG963dRGwVr0QIL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3C/pCS8BJUFf97A3Vzmska498MT3Jbujn+wu1WGy9NiRNBDCg7Mrv5je0MANYhkK9uM8sRv0MrsKfPmkudVuQ==" saltValue="jv7C4cIgM8DmQI9teubM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3uzycgPEBJcm4QFBM1PSLlomP/wE9UXxJDr9Q+c4/QrsciARdALnVuKJ2m8BtJiSZEYnBTl+dnhmLhNj2Fstg==" saltValue="tsESLuTPpCfIOWXjp9vy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0.18471337579617833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0.13061208060133681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zk1hf26DxfWhcZgz9EFvrH+fhdsVgVJCL7jgtuJMRmTRw8oMLstzs4VgYkxi+qvPH2fM4ZpLejG2jiDxLJCrQ==" saltValue="wNL712DfsjEURoWK3GTl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5vcwXvgO9lklAOyTd2G2RpTD8RSf1kyUea5Wn6B9Y4Zq6cOXRwh3H3w9E1Qm6TTlmRMVUllRZJc8bmh+q19xA==" saltValue="+2wrL7rD9Qq35hG14o8U4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A POBRA DE TRIVES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249</v>
      </c>
      <c r="D12" s="404">
        <f>IF(ISNUMBER(C12/Datos!BH12),C12/Datos!BH12," - ")</f>
        <v>249</v>
      </c>
      <c r="E12" s="403">
        <f>IF(ISNUMBER(IF(J_V="SI",Datos!J12,Datos!J12+Datos!Z12)),IF(J_V="SI",Datos!J12,Datos!J12+Datos!Z12)," - ")</f>
        <v>163</v>
      </c>
      <c r="F12" s="404">
        <f>IF(ISNUMBER(E12/B12),E12/B12," - ")</f>
        <v>163</v>
      </c>
      <c r="G12" s="403">
        <f>IF(ISNUMBER(IF(J_V="SI",Datos!K12,Datos!K12+Datos!AA12)),IF(J_V="SI",Datos!K12,Datos!K12+Datos!AA12)," - ")</f>
        <v>157</v>
      </c>
      <c r="H12" s="404">
        <f>IF(ISNUMBER(G12/B12),G12/B12," - ")</f>
        <v>157</v>
      </c>
      <c r="I12" s="403">
        <f>IF(ISNUMBER(IF(J_V="SI",Datos!L12,Datos!L12+Datos!AB12)),IF(J_V="SI",Datos!L12,Datos!L12+Datos!AB12)," - ")</f>
        <v>255</v>
      </c>
      <c r="J12" s="404">
        <f>IF(ISNUMBER(I12/B12),I12/B12," - ")</f>
        <v>255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251</v>
      </c>
      <c r="D13" s="850" t="str">
        <f>IF(ISNUMBER(C13/Datos!BI13),C13/Datos!BI13," - ")</f>
        <v xml:space="preserve"> - </v>
      </c>
      <c r="E13" s="849">
        <f>SUBTOTAL(9,E8:E12)</f>
        <v>163</v>
      </c>
      <c r="F13" s="850">
        <f>IF(ISNUMBER(E13/B13),E13/B13," - ")</f>
        <v>163</v>
      </c>
      <c r="G13" s="849">
        <f>SUBTOTAL(9,G8:G12)</f>
        <v>157</v>
      </c>
      <c r="H13" s="850">
        <f>IF(ISNUMBER(G13/B13),G13/B13," - ")</f>
        <v>157</v>
      </c>
      <c r="I13" s="849">
        <f>SUBTOTAL(9,I8:I12)</f>
        <v>257</v>
      </c>
      <c r="J13" s="850">
        <f>IF(ISNUMBER(I13/B13),I13/B13," - ")</f>
        <v>257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169</v>
      </c>
      <c r="D16" s="404">
        <f>IF(ISNUMBER(C16/Datos!BH16),C16/Datos!BH16," - ")</f>
        <v>169</v>
      </c>
      <c r="E16" s="403">
        <f>IF(ISNUMBER(IF(D_I="SI",Datos!J16,Datos!J16+Datos!AD16)),IF(D_I="SI",Datos!J16,Datos!J16+Datos!AD16)," - ")</f>
        <v>65</v>
      </c>
      <c r="F16" s="404">
        <f>IF(ISNUMBER(E16/B16),E16/B16," - ")</f>
        <v>65</v>
      </c>
      <c r="G16" s="403">
        <f>IF(ISNUMBER(IF(D_I="SI",Datos!K16,Datos!K16+Datos!AE16)),IF(D_I="SI",Datos!K16,Datos!K16+Datos!AE16)," - ")</f>
        <v>84</v>
      </c>
      <c r="H16" s="404">
        <f>IF(ISNUMBER(G16/B16),G16/B16," - ")</f>
        <v>84</v>
      </c>
      <c r="I16" s="403">
        <f>IF(ISNUMBER(IF(D_I="SI",Datos!L16,Datos!L16+Datos!AF16)),IF(D_I="SI",Datos!L16,Datos!L16+Datos!AF16)," - ")</f>
        <v>153</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7</v>
      </c>
      <c r="F17" s="404">
        <f>IF(ISNUMBER(E17/B17),E17/B17," - ")</f>
        <v>7</v>
      </c>
      <c r="G17" s="403">
        <f>IF(ISNUMBER(IF(D_I="SI",Datos!K17,Datos!K17+Datos!AE17)),IF(D_I="SI",Datos!K17,Datos!K17+Datos!AE17)," - ")</f>
        <v>8</v>
      </c>
      <c r="H17" s="404">
        <f>IF(ISNUMBER(G17/B17),G17/B17," - ")</f>
        <v>8</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178</v>
      </c>
      <c r="D18" s="850" t="str">
        <f>IF(ISNUMBER(C18/Datos!BI18),C18/Datos!BI18," - ")</f>
        <v xml:space="preserve"> - </v>
      </c>
      <c r="E18" s="849">
        <f>SUBTOTAL(9,E14:E17)</f>
        <v>72</v>
      </c>
      <c r="F18" s="850">
        <f>IF(ISNUMBER(E18/B18),E18/B18," - ")</f>
        <v>72</v>
      </c>
      <c r="G18" s="849">
        <f>SUBTOTAL(9,G14:G17)</f>
        <v>92</v>
      </c>
      <c r="H18" s="850">
        <f>IF(ISNUMBER(G18/B18),G18/B18," - ")</f>
        <v>92</v>
      </c>
      <c r="I18" s="849">
        <f>SUBTOTAL(9,I14:I17)</f>
        <v>161</v>
      </c>
      <c r="J18" s="850">
        <f>IF(ISNUMBER(I18/B18),I18/B18," - ")</f>
        <v>161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429</v>
      </c>
      <c r="D19" s="795" t="str">
        <f>IF(ISNUMBER(C19/Datos!BI19),C19/Datos!BI19," - ")</f>
        <v xml:space="preserve"> - </v>
      </c>
      <c r="E19" s="794">
        <f>SUBTOTAL(9,E9:E18)</f>
        <v>235</v>
      </c>
      <c r="F19" s="795">
        <f>IF(ISNUMBER(E19/B19),E19/B19," - ")</f>
        <v>235</v>
      </c>
      <c r="G19" s="794">
        <f>SUBTOTAL(9,G9:G18)</f>
        <v>249</v>
      </c>
      <c r="H19" s="795">
        <f>IF(ISNUMBER(G19/B19),G19/B19," - ")</f>
        <v>249</v>
      </c>
      <c r="I19" s="794">
        <f>SUBTOTAL(9,I9:I18)</f>
        <v>418</v>
      </c>
      <c r="J19" s="795">
        <f>IF(ISNUMBER(I19/B19),I19/B19," - ")</f>
        <v>418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2Vt6BDORbIiQ2AGRnuZWxsgdDMUNQlKyvw+zD0TOTErAjllOv/K/5zEXjgS4jdQGSFYjMXnTOtY79zdrHgTFA==" saltValue="BsQRt/bY98KNTIzDZGk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4.8726114649681538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1.6064257028112448E-2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2</v>
      </c>
      <c r="AG13" s="939">
        <f t="shared" si="1"/>
        <v>0</v>
      </c>
      <c r="AH13" s="939">
        <f t="shared" si="1"/>
        <v>253</v>
      </c>
      <c r="AI13" s="939">
        <f t="shared" si="1"/>
        <v>0</v>
      </c>
      <c r="AJ13" s="939">
        <f t="shared" si="1"/>
        <v>0</v>
      </c>
      <c r="AK13" s="939">
        <f t="shared" si="1"/>
        <v>0</v>
      </c>
      <c r="AL13" s="939">
        <f t="shared" si="1"/>
        <v>29</v>
      </c>
      <c r="AM13" s="939">
        <f t="shared" si="1"/>
        <v>94</v>
      </c>
      <c r="AN13" s="939">
        <f t="shared" si="1"/>
        <v>0</v>
      </c>
      <c r="AO13" s="939">
        <f t="shared" si="1"/>
        <v>0</v>
      </c>
      <c r="AP13" s="944">
        <f>IF(ISNUMBER(((Datos!L13/Datos!K13)*11)/factor_trimestre),((Datos!L13/Datos!K13)*11)/factor_trimestre," - ")</f>
        <v>5.4642857142857144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1.6064257028112448E-2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5.25</v>
      </c>
      <c r="AQ18" s="944">
        <f>IF(ISNUMBER(((Datos!M18/Datos!L18)*11)/factor_trimestre),((Datos!M18/Datos!L18)*11)/factor_trimestre," - ")</f>
        <v>0.18633540372670807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-4.5714285714285714E-2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2</v>
      </c>
      <c r="AG19" s="958">
        <f t="shared" si="5"/>
        <v>0</v>
      </c>
      <c r="AH19" s="958">
        <f t="shared" si="5"/>
        <v>253</v>
      </c>
      <c r="AI19" s="958">
        <f t="shared" si="5"/>
        <v>0</v>
      </c>
      <c r="AJ19" s="959">
        <f t="shared" si="5"/>
        <v>0</v>
      </c>
      <c r="AK19" s="959">
        <f t="shared" si="5"/>
        <v>0</v>
      </c>
      <c r="AL19" s="951">
        <f t="shared" si="5"/>
        <v>29</v>
      </c>
      <c r="AM19" s="951">
        <f t="shared" si="5"/>
        <v>94</v>
      </c>
      <c r="AN19" s="951">
        <f t="shared" si="5"/>
        <v>0</v>
      </c>
      <c r="AO19" s="951">
        <f t="shared" si="5"/>
        <v>0</v>
      </c>
      <c r="AP19" s="951">
        <f>IF(ISNUMBER(((Datos!L19/Datos!K19)*11)/factor_trimestre),((Datos!L19/Datos!K19)*11)/factor_trimestre," - ")</f>
        <v>5.3676470588235299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1.1583011583011582E-2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16.743157806499145</v>
      </c>
      <c r="AM21" s="736"/>
      <c r="AN21" s="736">
        <f>IF(ISNUMBER(STDEV(AN8:AN18)),STDEV(AN8:AN18),"-")</f>
        <v>0</v>
      </c>
      <c r="AO21" s="742">
        <f>IF(ISNUMBER(STDEV(AO8:AO18)),STDEV(AO8:AO18),"-")</f>
        <v>0</v>
      </c>
      <c r="AP21" s="779">
        <f>IF(ISNUMBER(STDEV(AP8:AP18)),STDEV(AP8:AP18),"-")</f>
        <v>0.29956048110131861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bZvSFA9QmY4aUn/ymwnp/xlifwDqEgvaGqZU61uonucPfeMwKbKXMHn7QQUApPjNgC8xOEdUefOYmtwbOi0Q==" saltValue="Y9cXKwEx4iE5K0JD2jIM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A POBRA DE TRIVES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v4XP1JaIXdu0H1UFalsTEFy9nq976H1KTlrImDEPqNqnabTuWf1uvSa5zoq2zw1EkIcMkzkSvkGpi5dBP9UxQ==" saltValue="pn8vIM7nx4+MIKqfhQB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A POBRA DE TRIVES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v>
      </c>
      <c r="E12" s="404">
        <f t="shared" si="0"/>
        <v>29</v>
      </c>
      <c r="F12" s="403">
        <f>IF(ISNUMBER(Datos!N12),Datos!N12," - ")</f>
        <v>94</v>
      </c>
      <c r="G12" s="404">
        <f t="shared" si="1"/>
        <v>94</v>
      </c>
      <c r="H12" s="403">
        <f>IF(ISNUMBER(Datos!O12),Datos!O12," - ")</f>
        <v>62</v>
      </c>
      <c r="I12" s="404">
        <f t="shared" si="2"/>
        <v>62</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94</v>
      </c>
      <c r="G13" s="850">
        <f t="shared" si="1"/>
        <v>94</v>
      </c>
      <c r="H13" s="849">
        <f>SUBTOTAL(9,H9:H12)</f>
        <v>62</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59</v>
      </c>
      <c r="G16" s="404">
        <f t="shared" si="4"/>
        <v>59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61</v>
      </c>
      <c r="G18" s="850">
        <f t="shared" si="4"/>
        <v>61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39</v>
      </c>
      <c r="E19" s="795">
        <f>IF(ISNUMBER(D19/B19),D19/B19," - ")</f>
        <v>39</v>
      </c>
      <c r="F19" s="794">
        <f>SUBTOTAL(9,F8:F18)</f>
        <v>155</v>
      </c>
      <c r="G19" s="795">
        <f>IF(ISNUMBER(F19/B19),F19/B19," - ")</f>
        <v>155</v>
      </c>
      <c r="H19" s="794">
        <f>SUBTOTAL(9,H8:H18)</f>
        <v>62</v>
      </c>
      <c r="I19" s="795">
        <f>IF(ISNUMBER(H19/B19),H19/B19," - ")</f>
        <v>62</v>
      </c>
    </row>
    <row r="22" spans="1:78">
      <c r="A22" s="391" t="str">
        <f>Criterios!A4</f>
        <v>Fecha Informe: 27 feb. 2025</v>
      </c>
    </row>
    <row r="27" spans="1:78">
      <c r="A27" s="414"/>
    </row>
  </sheetData>
  <sheetProtection algorithmName="SHA-512" hashValue="j7qIoufsE3+OKILIrRix1n92HvStHT9LZB5yUWQstz6lGRFRj+4slgUNvlm+ZJdBqScmSqJsejj2C5GMXd0aCQ==" saltValue="Bm0n0ytD6RESU3hIWTKk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A POBRA DE TRIVES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12</v>
      </c>
      <c r="D12" s="408">
        <f>IF(ISNUMBER(Datos!R12),Datos!R12," - ")</f>
        <v>253</v>
      </c>
    </row>
    <row r="13" spans="1:4" ht="14.25" thickTop="1" thickBot="1">
      <c r="A13" s="848" t="str">
        <f>Datos!A13</f>
        <v>TOTAL</v>
      </c>
      <c r="B13" s="849">
        <f>SUBTOTAL(9,B9:B12)</f>
        <v>16</v>
      </c>
      <c r="C13" s="853">
        <f>SUBTOTAL(9,C9:C12)</f>
        <v>12</v>
      </c>
      <c r="D13" s="851">
        <f>SUBTOTAL(9,D9:D12)</f>
        <v>253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9</v>
      </c>
    </row>
    <row r="19" spans="1:4" ht="16.5" customHeight="1" thickTop="1" thickBot="1">
      <c r="A19" s="793" t="str">
        <f>Datos!A19</f>
        <v>TOTAL JURISDICCIONES</v>
      </c>
      <c r="B19" s="798">
        <f>SUBTOTAL(9,B8:B18)</f>
        <v>16</v>
      </c>
      <c r="C19" s="799">
        <f>SUBTOTAL(9,C8:C18)</f>
        <v>13</v>
      </c>
      <c r="D19" s="800">
        <f>SUBTOTAL(9,D8:D18)</f>
        <v>262</v>
      </c>
    </row>
    <row r="20" spans="1:4" ht="7.5" customHeight="1"/>
    <row r="21" spans="1:4" ht="6" customHeight="1"/>
    <row r="22" spans="1:4">
      <c r="A22" s="391" t="str">
        <f>Criterios!A4</f>
        <v>Fecha Informe: 27 feb. 2025</v>
      </c>
    </row>
    <row r="27" spans="1:4">
      <c r="A27" s="414"/>
    </row>
  </sheetData>
  <sheetProtection algorithmName="SHA-512" hashValue="4uRuU/UM8jePYrk3puRnhgMuYgLi7ILY3xO8A1w5dwvSHZ0i86nS594mQe5LPzC4tiTmkMe6yksYVbY4mphuCg==" saltValue="/W1ZGpCcQSmRN4xtZz7j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A POBRA DE TRIVES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-4.9618320610687022E-2</v>
      </c>
      <c r="C12" s="456">
        <f>IF(ISNUMBER(
   IF(J_V="SI",(Datos!J12-Datos!T12)/Datos!T12,(Datos!J12+Datos!Z12-(Datos!T12+Datos!AH12))/(Datos!T12+Datos!AH12))
     ),IF(J_V="SI",(Datos!J12-Datos!T12)/Datos!T12,(Datos!J12+Datos!Z12-(Datos!T12+Datos!AH12))/(Datos!T12+Datos!AH12))," - ")</f>
        <v>0.35833333333333334</v>
      </c>
      <c r="D12" s="456">
        <f>IF(ISNUMBER(
   IF(J_V="SI",(Datos!K12-Datos!U12)/Datos!U12,(Datos!K12+Datos!AA12-(Datos!U12+Datos!AI12))/(Datos!U12+Datos!AI12))
     ),IF(J_V="SI",(Datos!K12-Datos!U12)/Datos!U12,(Datos!K12+Datos!AA12-(Datos!U12+Datos!AI12))/(Datos!U12+Datos!AI12))," - ")</f>
        <v>0.60204081632653061</v>
      </c>
      <c r="E12" s="456">
        <f>IF(ISNUMBER(
   IF(J_V="SI",(Datos!L12-Datos!V12)/Datos!V12,(Datos!L12+Datos!AB12-(Datos!V12+Datos!AJ12))/(Datos!V12+Datos!AJ12))
     ),IF(J_V="SI",(Datos!L12-Datos!V12)/Datos!V12,(Datos!L12+Datos!AB12-(Datos!V12+Datos!AJ12))/(Datos!V12+Datos!AJ12))," - ")</f>
        <v>-0.10211267605633803</v>
      </c>
      <c r="F12" s="456">
        <f>IF(ISNUMBER((Datos!M12-Datos!W12)/Datos!W12),(Datos!M12-Datos!W12)/Datos!W12," - ")</f>
        <v>3.1428571428571428</v>
      </c>
      <c r="G12" s="457">
        <f>IF(ISNUMBER((Datos!N12-Datos!X12)/Datos!X12),(Datos!N12-Datos!X12)/Datos!X12," - ")</f>
        <v>0.95833333333333337</v>
      </c>
      <c r="H12" s="455">
        <f>IF(ISNUMBER(((NºAsuntos!G12/NºAsuntos!E12)-Datos!BD12)/Datos!BD12),((NºAsuntos!G12/NºAsuntos!E12)-Datos!BD12)/Datos!BD12," - ")</f>
        <v>0.17941655189683237</v>
      </c>
      <c r="I12" s="456">
        <f>IF(ISNUMBER(((NºAsuntos!I12/NºAsuntos!G12)-Datos!BE12)/Datos!BE12),((NºAsuntos!I12/NºAsuntos!G12)-Datos!BE12)/Datos!BE12," - ")</f>
        <v>-0.43953530097784155</v>
      </c>
      <c r="J12" s="461">
        <f>IF(ISNUMBER((('Resol  Asuntos'!D12/NºAsuntos!G12)-Datos!BF12)/Datos!BF12),(('Resol  Asuntos'!D12/NºAsuntos!G12)-Datos!BF12)/Datos!BF12," - ")</f>
        <v>-0.62287685774946933</v>
      </c>
      <c r="K12" s="462">
        <f>IF(ISNUMBER((((NºAsuntos!C12+NºAsuntos!E12)/NºAsuntos!G12)-Datos!BG12)/Datos!BG12),(((NºAsuntos!C12+NºAsuntos!E12)/NºAsuntos!G12)-Datos!BG12)/Datos!BG12," - ")</f>
        <v>-0.32677493580551575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-4.924242424242424E-2</v>
      </c>
      <c r="C13" s="855">
        <f>IF(ISNUMBER(
   IF(J_V="SI",(Datos!J13-Datos!T13)/Datos!T13,(Datos!J13+Datos!Z13-(Datos!T13+Datos!AH13))/(Datos!T13+Datos!AH13))
     ),IF(J_V="SI",(Datos!J13-Datos!T13)/Datos!T13,(Datos!J13+Datos!Z13-(Datos!T13+Datos!AH13))/(Datos!T13+Datos!AH13))," - ")</f>
        <v>0.35833333333333334</v>
      </c>
      <c r="D13" s="855">
        <f>IF(ISNUMBER(
   IF(J_V="SI",(Datos!K13-Datos!U13)/Datos!U13,(Datos!K13+Datos!AA13-(Datos!U13+Datos!AI13))/(Datos!U13+Datos!AI13))
     ),IF(J_V="SI",(Datos!K13-Datos!U13)/Datos!U13,(Datos!K13+Datos!AA13-(Datos!U13+Datos!AI13))/(Datos!U13+Datos!AI13))," - ")</f>
        <v>0.60204081632653061</v>
      </c>
      <c r="E13" s="855">
        <f>IF(ISNUMBER(
   IF(J_V="SI",(Datos!L13-Datos!V13)/Datos!V13,(Datos!L13+Datos!AB13-(Datos!V13+Datos!AJ13))/(Datos!V13+Datos!AJ13))
     ),IF(J_V="SI",(Datos!L13-Datos!V13)/Datos!V13,(Datos!L13+Datos!AB13-(Datos!V13+Datos!AJ13))/(Datos!V13+Datos!AJ13))," - ")</f>
        <v>-0.10139860139860139</v>
      </c>
      <c r="F13" s="856">
        <f>IF(ISNUMBER((Datos!M13-Datos!W13)/Datos!W13),(Datos!M13-Datos!W13)/Datos!W13," - ")</f>
        <v>3.1428571428571428</v>
      </c>
      <c r="G13" s="857">
        <f>IF(ISNUMBER((Datos!N13-Datos!X13)/Datos!X13),(Datos!N13-Datos!X13)/Datos!X13," - ")</f>
        <v>0.95833333333333337</v>
      </c>
      <c r="H13" s="857">
        <f>IF(ISNUMBER(((NºAsuntos!G13/NºAsuntos!E13)-Datos!BD13)/Datos!BD13),((NºAsuntos!G13/NºAsuntos!E13)-Datos!BD13)/Datos!BD13," - ")</f>
        <v>0.17941655189683237</v>
      </c>
      <c r="I13" s="857">
        <f>IF(ISNUMBER(((NºAsuntos!I13/NºAsuntos!G13)-Datos!BE13)/Datos!BE13),((NºAsuntos!I13/NºAsuntos!G13)-Datos!BE13)/Datos!BE13," - ")</f>
        <v>-0.43908957284753458</v>
      </c>
      <c r="J13" s="857">
        <f>IF(ISNUMBER((('Resol  Asuntos'!D13/NºAsuntos!G13)-Datos!BF13)/Datos!BF13),(('Resol  Asuntos'!D13/NºAsuntos!G13)-Datos!BF13)/Datos!BF13," - ")</f>
        <v>-0.62287685774946933</v>
      </c>
      <c r="K13" s="857">
        <f>IF(ISNUMBER((((NºAsuntos!C13+NºAsuntos!E13)/NºAsuntos!G13)-Datos!BG13)/Datos!BG13),(((NºAsuntos!C13+NºAsuntos!E13)/NºAsuntos!G13)-Datos!BG13)/Datos!BG13," - ")</f>
        <v>-0.3270302547770701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9.0322580645161285E-2</v>
      </c>
      <c r="C16" s="456">
        <f>IF(ISNUMBER(
   IF(D_I="SI",(Datos!J16-Datos!T16)/Datos!T16,(Datos!J16+Datos!AD16-(Datos!T16+Datos!AL16))/(Datos!T16+Datos!AL16))
     ),IF(D_I="SI",(Datos!J16-Datos!T16)/Datos!T16,(Datos!J16+Datos!AD16-(Datos!T16+Datos!AL16))/(Datos!T16+Datos!AL16))," - ")</f>
        <v>1.5625E-2</v>
      </c>
      <c r="D16" s="456">
        <f>IF(ISNUMBER(
   IF(D_I="SI",(Datos!K16-Datos!U16)/Datos!U16,(Datos!K16+Datos!AE16-(Datos!U16+Datos!AM16))/(Datos!U16+Datos!AM16))
     ),IF(D_I="SI",(Datos!K16-Datos!U16)/Datos!U16,(Datos!K16+Datos!AE16-(Datos!U16+Datos!AM16))/(Datos!U16+Datos!AM16))," - ")</f>
        <v>7.6923076923076927E-2</v>
      </c>
      <c r="E16" s="456">
        <f>IF(ISNUMBER(
   IF(D_I="SI",(Datos!L16-Datos!V16)/Datos!V16,(Datos!L16+Datos!AF16-(Datos!V16+Datos!AN16))/(Datos!V16+Datos!AN16))
     ),IF(D_I="SI",(Datos!L16-Datos!V16)/Datos!V16,(Datos!L16+Datos!AF16-(Datos!V16+Datos!AN16))/(Datos!V16+Datos!AN16))," - ")</f>
        <v>8.5106382978723402E-2</v>
      </c>
      <c r="F16" s="456">
        <f>IF(ISNUMBER((Datos!M16-Datos!W16)/Datos!W16),(Datos!M16-Datos!W16)/Datos!W16," - ")</f>
        <v>-9.0909090909090912E-2</v>
      </c>
      <c r="G16" s="457">
        <f>IF(ISNUMBER((Datos!N16-Datos!X16)/Datos!X16),(Datos!N16-Datos!X16)/Datos!X16," - ")</f>
        <v>0.13461538461538461</v>
      </c>
      <c r="H16" s="455">
        <f>IF(ISNUMBER(((NºAsuntos!G16/NºAsuntos!E16)-Datos!BD16)/Datos!BD16),((NºAsuntos!G16/NºAsuntos!E16)-Datos!BD16)/Datos!BD16," - ")</f>
        <v>6.0355029585798872E-2</v>
      </c>
      <c r="I16" s="456">
        <f>IF(ISNUMBER(((NºAsuntos!I16/NºAsuntos!G16)-Datos!BE16)/Datos!BE16),((NºAsuntos!I16/NºAsuntos!G16)-Datos!BE16)/Datos!BE16," - ")</f>
        <v>7.5987841945288487E-3</v>
      </c>
      <c r="J16" s="461">
        <f>IF(ISNUMBER((('Resol  Asuntos'!D16/NºAsuntos!G16)-Datos!BF16)/Datos!BF16),(('Resol  Asuntos'!D16/NºAsuntos!G16)-Datos!BF16)/Datos!BF16," - ")</f>
        <v>-0.1558441558441559</v>
      </c>
      <c r="K16" s="462">
        <f>IF(ISNUMBER((((NºAsuntos!C16+NºAsuntos!E16)/NºAsuntos!G16)-Datos!BG16)/Datos!BG16),(((NºAsuntos!C16+NºAsuntos!E16)/NºAsuntos!G16)-Datos!BG16)/Datos!BG16," - ")</f>
        <v>-7.8277886497064315E-3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0.14285714285714279</v>
      </c>
      <c r="I17" s="456">
        <f>IF(ISNUMBER(((NºAsuntos!I17/NºAsuntos!G17)-Datos!BE17)/Datos!BE17),((NºAsuntos!I17/NºAsuntos!G17)-Datos!BE17)/Datos!BE17," - ")</f>
        <v>-0.33333333333333331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6.5868263473053898E-2</v>
      </c>
      <c r="C18" s="855">
        <f>IF(ISNUMBER(
   IF(Criterios!B14="SI",(Datos!J18-Datos!T18)/Datos!T18,(Datos!J18+Datos!AD18-(Datos!T18+Datos!AL18))/(Datos!T18+Datos!AL18))
     ),IF(Criterios!B14="SI",(Datos!J18-Datos!T18)/Datos!T18,(Datos!J18+Datos!AD18-(Datos!T18+Datos!AL18))/(Datos!T18+Datos!AL18))," - ")</f>
        <v>0</v>
      </c>
      <c r="D18" s="855">
        <f>IF(ISNUMBER(
   IF(Criterios!B14="SI",(Datos!K18-Datos!U18)/Datos!U18,(Datos!K18+Datos!AE18-(Datos!U18+Datos!AM18))/(Datos!U18+Datos!AM18))
     ),IF(Criterios!B14="SI",(Datos!K18-Datos!U18)/Datos!U18,(Datos!K18+Datos!AE18-(Datos!U18+Datos!AM18))/(Datos!U18+Datos!AM18))," - ")</f>
        <v>6.9767441860465115E-2</v>
      </c>
      <c r="E18" s="855">
        <f>IF(ISNUMBER(
   IF(Criterios!B14="SI",(Datos!L18-Datos!V18)/Datos!V18,(Datos!L18+Datos!AF18-(Datos!V18+Datos!AN18))/(Datos!V18+Datos!AN18))
     ),IF(Criterios!B14="SI",(Datos!L18-Datos!V18)/Datos!V18,(Datos!L18+Datos!AF18-(Datos!V18+Datos!AN18))/(Datos!V18+Datos!AN18))," - ")</f>
        <v>5.2287581699346407E-2</v>
      </c>
      <c r="F18" s="856">
        <f>IF(ISNUMBER((Datos!M18-Datos!W18)/Datos!W18),(Datos!M18-Datos!W18)/Datos!W18," - ")</f>
        <v>-9.0909090909090912E-2</v>
      </c>
      <c r="G18" s="857">
        <f>IF(ISNUMBER((Datos!N18-Datos!X18)/Datos!X18),(Datos!N18-Datos!X18)/Datos!X18," - ")</f>
        <v>1.6666666666666666E-2</v>
      </c>
      <c r="H18" s="857">
        <f>IF(ISNUMBER(((NºAsuntos!G18/NºAsuntos!E18)-Datos!BD18)/Datos!BD18),((NºAsuntos!G18/NºAsuntos!E18)-Datos!BD18)/Datos!BD18," - ")</f>
        <v>6.976744186046506E-2</v>
      </c>
      <c r="I18" s="857">
        <f>IF(ISNUMBER(((NºAsuntos!I18/NºAsuntos!G18)-Datos!BE18)/Datos!BE18),((NºAsuntos!I18/NºAsuntos!G18)-Datos!BE18)/Datos!BE18," - ")</f>
        <v>-1.633986928104578E-2</v>
      </c>
      <c r="J18" s="857">
        <f>IF(ISNUMBER((('Resol  Asuntos'!D18/NºAsuntos!G18)-Datos!BF18)/Datos!BF18),(('Resol  Asuntos'!D18/NºAsuntos!G18)-Datos!BF18)/Datos!BF18," - ")</f>
        <v>-0.15019762845849807</v>
      </c>
      <c r="K18" s="857">
        <f>IF(ISNUMBER((((NºAsuntos!C18+NºAsuntos!E18)/NºAsuntos!G18)-Datos!BG18)/Datos!BG18),(((NºAsuntos!C18+NºAsuntos!E18)/NºAsuntos!G18)-Datos!BG18)/Datos!BG18," - ")</f>
        <v>-2.2193923958522821E-2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-4.6403712296983757E-3</v>
      </c>
      <c r="C19" s="802">
        <f>IF(ISNUMBER(
   IF(J_V="SI",(Datos!J19-Datos!T19)/Datos!T19,(Datos!J19+Datos!Z19-(Datos!T19+Datos!AH19))/(Datos!T19+Datos!AH19))
     ),IF(J_V="SI",(Datos!J19-Datos!T19)/Datos!T19,(Datos!J19+Datos!Z19-(Datos!T19+Datos!AH19))/(Datos!T19+Datos!AH19))," - ")</f>
        <v>0.22395833333333334</v>
      </c>
      <c r="D19" s="802">
        <f>IF(ISNUMBER(
   IF(J_V="SI",(Datos!K19-Datos!U19)/Datos!U19,(Datos!K19+Datos!AA19-(Datos!U19+Datos!AI19))/(Datos!U19+Datos!AI19))
     ),IF(J_V="SI",(Datos!K19-Datos!U19)/Datos!U19,(Datos!K19+Datos!AA19-(Datos!U19+Datos!AI19))/(Datos!U19+Datos!AI19))," - ")</f>
        <v>0.35326086956521741</v>
      </c>
      <c r="E19" s="802">
        <f>IF(ISNUMBER(
   IF(J_V="SI",(Datos!L19-Datos!V19)/Datos!V19,(Datos!L19+Datos!AB19-(Datos!V19+Datos!AJ19))/(Datos!V19+Datos!AJ19))
     ),IF(J_V="SI",(Datos!L19-Datos!V19)/Datos!V19,(Datos!L19+Datos!AB19-(Datos!V19+Datos!AJ19))/(Datos!V19+Datos!AJ19))," - ")</f>
        <v>-4.7835990888382689E-2</v>
      </c>
      <c r="F19" s="803">
        <f>IF(ISNUMBER((Datos!M19-Datos!W19)/Datos!W19),(Datos!M19-Datos!W19)/Datos!W19," - ")</f>
        <v>1.1666666666666667</v>
      </c>
      <c r="G19" s="804">
        <f>IF(ISNUMBER((Datos!N19-Datos!X19)/Datos!X19),(Datos!N19-Datos!X19)/Datos!X19," - ")</f>
        <v>0.43518518518518517</v>
      </c>
      <c r="H19" s="805">
        <f>IF(ISNUMBER((Tasas!B19-Datos!BD19)/Datos!BD19),(Tasas!B19-Datos!BD19)/Datos!BD19," - ")</f>
        <v>0.10564292321924149</v>
      </c>
      <c r="I19" s="806">
        <f>IF(ISNUMBER((Tasas!C19-Datos!BE19)/Datos!BE19),(Tasas!C19-Datos!BE19)/Datos!BE19," - ")</f>
        <v>-0.29639286073679677</v>
      </c>
      <c r="J19" s="807">
        <f>IF(ISNUMBER((Tasas!D19-Datos!BF19)/Datos!BF19),(Tasas!D19-Datos!BF19)/Datos!BF19," - ")</f>
        <v>-0.51153767612824175</v>
      </c>
      <c r="K19" s="807">
        <f>IF(ISNUMBER((Tasas!E19-Datos!BG19)/Datos!BG19),(Tasas!E19-Datos!BG19)/Datos!BG19," - ")</f>
        <v>-0.21241305510968433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u9+NahHS+B2voESGkStdFK7JS8C50Fs4JeJOtC9F2dnxu8mS33IjFLACHN3wmL9NDdCbpGt2DW81wfaagNtHQ==" saltValue="dRMNWL839IN0QBs7EvLW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A POBRA DE TRIVES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0.96319018404907975</v>
      </c>
      <c r="C12" s="443">
        <f>IF(ISNUMBER(NºAsuntos!I12/NºAsuntos!G12),NºAsuntos!I12/NºAsuntos!G12," - ")</f>
        <v>1.624203821656051</v>
      </c>
      <c r="D12" s="444">
        <f>IF(ISNUMBER('Resol  Asuntos'!D12/NºAsuntos!G12),'Resol  Asuntos'!D12/NºAsuntos!G12," - ")</f>
        <v>0.18471337579617833</v>
      </c>
      <c r="E12" s="445">
        <f>IF(ISNUMBER((NºAsuntos!C12+NºAsuntos!E12)/NºAsuntos!G12),(NºAsuntos!C12+NºAsuntos!E12)/NºAsuntos!G12," - ")</f>
        <v>2.6242038216560508</v>
      </c>
      <c r="G12" s="463"/>
    </row>
    <row r="13" spans="1:7" ht="14.25" thickTop="1" thickBot="1">
      <c r="A13" s="848" t="str">
        <f>Datos!A13</f>
        <v>TOTAL</v>
      </c>
      <c r="B13" s="858">
        <f>IF(ISNUMBER(NºAsuntos!G13/NºAsuntos!E13),NºAsuntos!G13/NºAsuntos!E13," - ")</f>
        <v>0.96319018404907975</v>
      </c>
      <c r="C13" s="859">
        <f>IF(ISNUMBER(NºAsuntos!I13/NºAsuntos!G13),NºAsuntos!I13/NºAsuntos!G13," - ")</f>
        <v>1.6369426751592357</v>
      </c>
      <c r="D13" s="860">
        <f>IF(ISNUMBER('Resol  Asuntos'!D13/NºAsuntos!G13),'Resol  Asuntos'!D13/NºAsuntos!G13," - ")</f>
        <v>0.18471337579617833</v>
      </c>
      <c r="E13" s="861">
        <f>IF(ISNUMBER((NºAsuntos!C13+NºAsuntos!E13)/NºAsuntos!G13),(NºAsuntos!C13+NºAsuntos!E13)/NºAsuntos!G13," - ")</f>
        <v>2.6369426751592355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1.2923076923076924</v>
      </c>
      <c r="C16" s="443">
        <f>IF(ISNUMBER(NºAsuntos!I16/NºAsuntos!G16),NºAsuntos!I16/NºAsuntos!G16," - ")</f>
        <v>1.8214285714285714</v>
      </c>
      <c r="D16" s="444">
        <f>IF(ISNUMBER('Resol  Asuntos'!D16/NºAsuntos!G16),'Resol  Asuntos'!D16/NºAsuntos!G16," - ")</f>
        <v>0.11904761904761904</v>
      </c>
      <c r="E16" s="445">
        <f>IF(ISNUMBER((NºAsuntos!C16+NºAsuntos!E16)/NºAsuntos!G16),(NºAsuntos!C16+NºAsuntos!E16)/NºAsuntos!G16," - ")</f>
        <v>2.7857142857142856</v>
      </c>
      <c r="G16" s="463"/>
    </row>
    <row r="17" spans="1:7" ht="13.5" thickBot="1">
      <c r="A17" s="402" t="str">
        <f>Datos!A17</f>
        <v>Jdos. Violencia contra la mujer</v>
      </c>
      <c r="B17" s="442">
        <f>IF(ISNUMBER(NºAsuntos!G17/NºAsuntos!E17),NºAsuntos!G17/NºAsuntos!E17," - ")</f>
        <v>1.1428571428571428</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1.2777777777777777</v>
      </c>
      <c r="C18" s="859">
        <f>IF(ISNUMBER(NºAsuntos!I18/NºAsuntos!G18),NºAsuntos!I18/NºAsuntos!G18," - ")</f>
        <v>1.75</v>
      </c>
      <c r="D18" s="862">
        <f>IF(ISNUMBER('Resol  Asuntos'!D18/NºAsuntos!G18),'Resol  Asuntos'!D18/NºAsuntos!G18," - ")</f>
        <v>0.10869565217391304</v>
      </c>
      <c r="E18" s="861">
        <f>IF(ISNUMBER((NºAsuntos!C18+NºAsuntos!E18)/NºAsuntos!G18),(NºAsuntos!C18+NºAsuntos!E18)/NºAsuntos!G18," - ")</f>
        <v>2.7173913043478262</v>
      </c>
      <c r="G18" s="463"/>
    </row>
    <row r="19" spans="1:7" ht="15.75" customHeight="1" thickTop="1" thickBot="1">
      <c r="A19" s="793" t="str">
        <f>Datos!A19</f>
        <v>TOTAL JURISDICCIONES</v>
      </c>
      <c r="B19" s="808">
        <f>IF(ISNUMBER(NºAsuntos!G19/NºAsuntos!E19),NºAsuntos!G19/NºAsuntos!E19," - ")</f>
        <v>1.0595744680851065</v>
      </c>
      <c r="C19" s="809">
        <f>IF(ISNUMBER(NºAsuntos!I19/NºAsuntos!G19),NºAsuntos!I19/NºAsuntos!G19," - ")</f>
        <v>1.678714859437751</v>
      </c>
      <c r="D19" s="810">
        <f>IF(ISNUMBER('Resol  Asuntos'!D19/NºAsuntos!G19),'Resol  Asuntos'!D19/NºAsuntos!G19," - ")</f>
        <v>0.15662650602409639</v>
      </c>
      <c r="E19" s="811">
        <f>IF(ISNUMBER((NºAsuntos!C19+NºAsuntos!E19)/NºAsuntos!G19),(NºAsuntos!C19+NºAsuntos!E19)/NºAsuntos!G19," - ")</f>
        <v>2.6666666666666665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CvARp/59sgOQMdtc7pKzpO8m5G1WpXKRf1UJfKqBCgPAyUHh3vSc4XbAvWL1BHi1tHiD66dWI2sdSM1wPhbmQ==" saltValue="6cw1DC6SJMS9OlEWgLP1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A POBRA DE TRIVES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0.96319018404907975</v>
      </c>
      <c r="AM12" s="260">
        <f>IF(ISNUMBER(((NºAsuntos!I12/NºAsuntos!G12)*11)/factor_trimestre),((NºAsuntos!I12/NºAsuntos!G12)*11)/factor_trimestre," - ")</f>
        <v>4.8726114649681538</v>
      </c>
      <c r="AN12" s="244">
        <f>IF(ISNUMBER('Resol  Asuntos'!D12/NºAsuntos!G12),'Resol  Asuntos'!D12/NºAsuntos!G12," - ")</f>
        <v>0.18471337579617833</v>
      </c>
      <c r="AO12" s="245">
        <f>IF(ISNUMBER((NºAsuntos!C12+NºAsuntos!E12)/NºAsuntos!G12),(NºAsuntos!C12+NºAsuntos!E12)/NºAsuntos!G12," - ")</f>
        <v>2.6242038216560508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2</v>
      </c>
      <c r="AB13" s="868">
        <f t="shared" si="4"/>
        <v>253</v>
      </c>
      <c r="AC13" s="868">
        <f t="shared" si="4"/>
        <v>2</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0.96319018404907975</v>
      </c>
      <c r="AM13" s="874">
        <f>IF(ISNUMBER(((NºAsuntos!I13/NºAsuntos!G13)*11)/factor_trimestre),((NºAsuntos!I13/NºAsuntos!G13)*11)/factor_trimestre," - ")</f>
        <v>4.9108280254777075</v>
      </c>
      <c r="AN13" s="875">
        <f>IF(ISNUMBER('Resol  Asuntos'!D13/NºAsuntos!G13),'Resol  Asuntos'!D13/NºAsuntos!G13," - ")</f>
        <v>0.18471337579617833</v>
      </c>
      <c r="AO13" s="876">
        <f>IF(ISNUMBER((NºAsuntos!C13+NºAsuntos!E13)/NºAsuntos!G13),(NºAsuntos!C13+NºAsuntos!E13)/NºAsuntos!G13," - ")</f>
        <v>2.6369426751592355</v>
      </c>
      <c r="AP13" s="877" t="str">
        <f t="shared" si="2"/>
        <v xml:space="preserve"> - </v>
      </c>
      <c r="AQ13" s="877">
        <f>IF(ISNUMBER((H13-W13+K13)/(F13)),(H13-W13+K13)/(F13)," - ")</f>
        <v>0</v>
      </c>
      <c r="AR13" s="878">
        <f>IF(ISNUMBER((Datos!P13-Datos!Q13)/(Datos!R13-Datos!P13+Datos!Q13)),(Datos!P13-Datos!Q13)/(Datos!R13-Datos!P13+Datos!Q13)," - ")</f>
        <v>1.6064257028112448E-2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172</v>
      </c>
      <c r="G16" s="333">
        <f>IF(ISNUMBER(IF(D_I="SI",Datos!I16,Datos!I16+Datos!AC16)),IF(D_I="SI",Datos!I16,Datos!I16+Datos!AC16)," - ")</f>
        <v>169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v>
      </c>
      <c r="X16" s="226">
        <f>IF(ISNUMBER(Datos!Q16),Datos!Q16," - ")</f>
        <v>1</v>
      </c>
      <c r="Y16" s="334">
        <f t="shared" ref="Y16:Y17" si="7">SUM(W16:X16)</f>
        <v>85</v>
      </c>
      <c r="Z16" s="335" t="str">
        <f>IF(ISNUMBER(Datos!CC16),Datos!CC16," - ")</f>
        <v xml:space="preserve"> - </v>
      </c>
      <c r="AA16" s="332">
        <f>IF(ISNUMBER(IF(D_I="SI",Datos!L16,Datos!L16+Datos!AF16)),IF(D_I="SI",Datos!L16,Datos!L16+Datos!AF16)," - ")</f>
        <v>153</v>
      </c>
      <c r="AB16" s="334">
        <f>IF(ISNUMBER(Datos!R16),Datos!R16," - ")</f>
        <v>9</v>
      </c>
      <c r="AC16" s="334">
        <f t="shared" si="6"/>
        <v>162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1.2923076923076924</v>
      </c>
      <c r="AM16" s="260">
        <f>IF(ISNUMBER(((NºAsuntos!I16/NºAsuntos!G16)*11)/factor_trimestre),((NºAsuntos!I16/NºAsuntos!G16)*11)/factor_trimestre," - ")</f>
        <v>5.4642857142857144</v>
      </c>
      <c r="AN16" s="244">
        <f>IF(ISNUMBER('Resol  Asuntos'!D16/NºAsuntos!G16),'Resol  Asuntos'!D16/NºAsuntos!G16," - ")</f>
        <v>0.11904761904761904</v>
      </c>
      <c r="AO16" s="245">
        <f>IF(ISNUMBER((NºAsuntos!C16+NºAsuntos!E16)/NºAsuntos!G16),(NºAsuntos!C16+NºAsuntos!E16)/NºAsuntos!G16," - ")</f>
        <v>2.7857142857142856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1.1428571428571428</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172</v>
      </c>
      <c r="G18" s="866">
        <f>SUBTOTAL(9,G15:G17)</f>
        <v>178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v>
      </c>
      <c r="X18" s="867">
        <f t="shared" si="11"/>
        <v>1</v>
      </c>
      <c r="Y18" s="868">
        <f t="shared" si="11"/>
        <v>93</v>
      </c>
      <c r="Z18" s="868">
        <f t="shared" si="11"/>
        <v>0</v>
      </c>
      <c r="AA18" s="868">
        <f t="shared" si="11"/>
        <v>161</v>
      </c>
      <c r="AB18" s="868">
        <f t="shared" si="11"/>
        <v>9</v>
      </c>
      <c r="AC18" s="868">
        <f t="shared" si="11"/>
        <v>170</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1.2777777777777777</v>
      </c>
      <c r="AM18" s="874">
        <f>IF(ISNUMBER(((NºAsuntos!I18/NºAsuntos!G18)*11)/factor_trimestre),((NºAsuntos!I18/NºAsuntos!G18)*11)/factor_trimestre," - ")</f>
        <v>5.25</v>
      </c>
      <c r="AN18" s="875">
        <f>IF(ISNUMBER('Resol  Asuntos'!D18/NºAsuntos!G18),'Resol  Asuntos'!D18/NºAsuntos!G18," - ")</f>
        <v>0.10869565217391304</v>
      </c>
      <c r="AO18" s="876">
        <f>IF(ISNUMBER((NºAsuntos!C18+NºAsuntos!E18)/NºAsuntos!G18),(NºAsuntos!C18+NºAsuntos!E18)/NºAsuntos!G18," - ")</f>
        <v>2.7173913043478262</v>
      </c>
      <c r="AP18" s="877" t="str">
        <f t="shared" si="2"/>
        <v xml:space="preserve"> - </v>
      </c>
      <c r="AQ18" s="877">
        <f>IF(ISNUMBER((H18-W18+K18)/(F18)),(H18-W18+K18)/(F18)," - ")</f>
        <v>-0.53488372093023251</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174</v>
      </c>
      <c r="G19" s="821">
        <f t="shared" si="13"/>
        <v>180</v>
      </c>
      <c r="H19" s="820">
        <f t="shared" si="13"/>
        <v>0</v>
      </c>
      <c r="I19" s="822">
        <f t="shared" si="13"/>
        <v>0</v>
      </c>
      <c r="J19" s="822">
        <f t="shared" si="13"/>
        <v>0</v>
      </c>
      <c r="K19" s="881">
        <f t="shared" si="13"/>
        <v>0</v>
      </c>
      <c r="L19" s="822">
        <f t="shared" si="13"/>
        <v>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v>
      </c>
      <c r="X19" s="821">
        <f t="shared" si="14"/>
        <v>13</v>
      </c>
      <c r="Y19" s="828">
        <f t="shared" si="14"/>
        <v>105</v>
      </c>
      <c r="Z19" s="828">
        <f t="shared" si="14"/>
        <v>0</v>
      </c>
      <c r="AA19" s="828">
        <f t="shared" si="14"/>
        <v>163</v>
      </c>
      <c r="AB19" s="828">
        <f t="shared" si="14"/>
        <v>262</v>
      </c>
      <c r="AC19" s="828">
        <f t="shared" si="14"/>
        <v>172</v>
      </c>
      <c r="AD19" s="828">
        <f t="shared" si="14"/>
        <v>0</v>
      </c>
      <c r="AE19" s="830">
        <f t="shared" si="14"/>
        <v>0</v>
      </c>
      <c r="AF19" s="831">
        <f t="shared" si="14"/>
        <v>0</v>
      </c>
      <c r="AG19" s="832">
        <f t="shared" si="14"/>
        <v>0</v>
      </c>
      <c r="AH19" s="830">
        <f t="shared" si="14"/>
        <v>0</v>
      </c>
      <c r="AI19" s="820">
        <f t="shared" si="14"/>
        <v>39</v>
      </c>
      <c r="AJ19" s="820">
        <f t="shared" si="14"/>
        <v>0</v>
      </c>
      <c r="AK19" s="830">
        <f t="shared" si="14"/>
        <v>0</v>
      </c>
      <c r="AL19" s="884">
        <f>IF(ISNUMBER(NºAsuntos!G19/NºAsuntos!E19),NºAsuntos!G19/NºAsuntos!E19," - ")</f>
        <v>1.0595744680851065</v>
      </c>
      <c r="AM19" s="885">
        <f>IF(ISNUMBER(((NºAsuntos!I19/NºAsuntos!G19)*11)/factor_trimestre),((NºAsuntos!I19/NºAsuntos!G19)*11)/factor_trimestre," - ")</f>
        <v>5.0361445783132526</v>
      </c>
      <c r="AN19" s="885">
        <f>IF(ISNUMBER('Resol  Asuntos'!D19/NºAsuntos!G19),'Resol  Asuntos'!D19/NºAsuntos!G19," - ")</f>
        <v>0.15662650602409639</v>
      </c>
      <c r="AO19" s="886">
        <f>IF(ISNUMBER((NºAsuntos!C19+NºAsuntos!E19)/NºAsuntos!G19),(NºAsuntos!C19+NºAsuntos!E19)/NºAsuntos!G19," - ")</f>
        <v>2.6666666666666665</v>
      </c>
      <c r="AP19" s="887" t="str">
        <f t="shared" si="2"/>
        <v xml:space="preserve"> - </v>
      </c>
      <c r="AQ19" s="888">
        <f>IF(OR(ISNUMBER(FIND("01",Criterios!A8,1)),ISNUMBER(FIND("02",Criterios!A8,1)),ISNUMBER(FIND("03",Criterios!A8,1)),ISNUMBER(FIND("04",Criterios!A8,1))),(I19-W19+K19)/(F19-K19),(H19-W19+K19)/(F19-K19))</f>
        <v>-0.52873563218390807</v>
      </c>
      <c r="AR19" s="889">
        <f>IF(ISNUMBER((Datos!P19-Datos!Q19)/(Datos!R19-Datos!P19+Datos!Q19)),(Datos!P19-Datos!Q19)/(Datos!R19-Datos!P19+Datos!Q19)," - ")</f>
        <v>1.1583011583011582E-2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98.149545762236386</v>
      </c>
      <c r="G21" s="253">
        <f>IF(ISNUMBER(STDEV(G8:G18)),STDEV(G8:G18),"-")</f>
        <v>92.755053770670628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46.938257317459069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13.175735273600482</v>
      </c>
      <c r="AJ21" s="252">
        <f t="shared" si="18"/>
        <v>0</v>
      </c>
      <c r="AK21" s="254">
        <f t="shared" si="18"/>
        <v>0</v>
      </c>
      <c r="AL21" s="249">
        <f t="shared" si="18"/>
        <v>0.16122623418509113</v>
      </c>
      <c r="AM21" s="250">
        <f t="shared" si="18"/>
        <v>0.98118229604490204</v>
      </c>
      <c r="AN21" s="250">
        <f t="shared" si="18"/>
        <v>7.5668248904265697E-2</v>
      </c>
      <c r="AO21" s="251">
        <f t="shared" si="18"/>
        <v>0.31587405907149307</v>
      </c>
      <c r="AP21" s="291" t="str">
        <f t="shared" si="18"/>
        <v>-</v>
      </c>
      <c r="AQ21" s="292">
        <f t="shared" si="18"/>
        <v>0.37821990621606028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EeR94SQQbtJXdlKKzcz7kWpZu3bc3G2gQUYrqWF+yOwe1+Df+1hjRBwtjxLIFDvPrpSv20iKZJJudCzm8DqJw==" saltValue="xo7+UgIYOrf9hrhj/GPh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A POBRA DE TRIVES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3.1428571428571428</v>
      </c>
      <c r="I12" s="350">
        <f>IF(ISNUMBER((Tasas!C12-Datos!BE12)/Datos!BE12),(Tasas!C12-Datos!BE12)/Datos!BE12," - ")</f>
        <v>-0.43953530097784155</v>
      </c>
      <c r="J12" s="349">
        <f>IF(ISNUMBER((Tasas!D12-Datos!BF12)/Datos!BF12),(Tasas!D12-Datos!BF12)/Datos!BF12," - ")</f>
        <v>-0.62287685774946933</v>
      </c>
      <c r="K12" s="351">
        <f>IF(ISNUMBER((Tasas!E12-Datos!BG12)/Datos!BG12),(Tasas!E12-Datos!BG12)/Datos!BG12," - ")</f>
        <v>-0.32677493580551575</v>
      </c>
      <c r="M12" t="e">
        <f>IF(Monitorios="SI",Datos!CE12,0)</f>
        <v>#REF!</v>
      </c>
      <c r="N12" t="e">
        <f>IF(Monitorios="SI",Datos!CF12,0)</f>
        <v>#REF!</v>
      </c>
      <c r="O12" t="e">
        <f>IF(Monitorios="SI",Datos!CG12,0)</f>
        <v>#REF!</v>
      </c>
      <c r="P12" t="e">
        <f>IF(Monitorios="SI",Datos!CH12,0)</f>
        <v>#REF!</v>
      </c>
      <c r="Q12">
        <f>IF(J_V="SI",0,Datos!AG12)</f>
        <v>106</v>
      </c>
      <c r="R12">
        <f>IF(J_V="SI",0,Datos!AH12)</f>
        <v>44</v>
      </c>
      <c r="S12">
        <f>IF(J_V="SI",0,Datos!AI12)</f>
        <v>47</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3.1428571428571428</v>
      </c>
      <c r="I13" s="357">
        <f>IF(ISNUMBER((Tasas!C13-Datos!BE13)/Datos!BE13),(Tasas!C13-Datos!BE13)/Datos!BE13," - ")</f>
        <v>-0.43908957284753458</v>
      </c>
      <c r="J13" s="355">
        <f>IF(ISNUMBER((Tasas!D13-Datos!BF13)/Datos!BF13),(Tasas!D13-Datos!BF13)/Datos!BF13," - ")</f>
        <v>-0.62287685774946933</v>
      </c>
      <c r="K13" s="358">
        <f>IF(ISNUMBER((Tasas!E13-Datos!BG13)/Datos!BG13),(Tasas!E13-Datos!BG13)/Datos!BG13," - ")</f>
        <v>-0.3270302547770701</v>
      </c>
      <c r="M13" t="e">
        <f>IF(Monitorios="SI",Datos!CE13,0)</f>
        <v>#REF!</v>
      </c>
      <c r="N13" t="e">
        <f>IF(Monitorios="SI",Datos!CF13,0)</f>
        <v>#REF!</v>
      </c>
      <c r="O13" t="e">
        <f>IF(Monitorios="SI",Datos!CG13,0)</f>
        <v>#REF!</v>
      </c>
      <c r="P13" t="e">
        <f>IF(Monitorios="SI",Datos!CH13,0)</f>
        <v>#REF!</v>
      </c>
      <c r="Q13">
        <f>IF(J_V="SI",0,Datos!AG13)</f>
        <v>106</v>
      </c>
      <c r="R13">
        <f>IF(J_V="SI",0,Datos!AH13)</f>
        <v>44</v>
      </c>
      <c r="S13">
        <f>IF(J_V="SI",0,Datos!AI13)</f>
        <v>47</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9.0322580645161285E-2</v>
      </c>
      <c r="E16" s="348">
        <f>IF(ISNUMBER(
   IF(D_I="SI",(Datos!J16-Datos!T16)/Datos!T16,(Datos!J16+Datos!AD16-(Datos!T16+Datos!AL16))/(Datos!T16+Datos!AL16))
     ),IF(D_I="SI",(Datos!J16-Datos!T16)/Datos!T16,(Datos!J16+Datos!AD16-(Datos!T16+Datos!AL16))/(Datos!T16+Datos!AL16))," - ")</f>
        <v>1.5625E-2</v>
      </c>
      <c r="F16" s="348">
        <f>IF(ISNUMBER(
   IF(D_I="SI",(Datos!K16-Datos!U16)/Datos!U16,(Datos!K16+Datos!AE16-(Datos!U16+Datos!AM16))/(Datos!U16+Datos!AM16))
     ),IF(D_I="SI",(Datos!K16-Datos!U16)/Datos!U16,(Datos!K16+Datos!AE16-(Datos!U16+Datos!AM16))/(Datos!U16+Datos!AM16))," - ")</f>
        <v>7.6923076923076927E-2</v>
      </c>
      <c r="G16" s="349">
        <f>IF(ISNUMBER(
   IF(D_I="SI",(Datos!L16-Datos!V16)/Datos!V16,(Datos!L16+Datos!AF16-(Datos!V16+Datos!AN16))/(Datos!V16+Datos!AN16))
     ),IF(D_I="SI",(Datos!L16-Datos!V16)/Datos!V16,(Datos!L16+Datos!AF16-(Datos!V16+Datos!AN16))/(Datos!V16+Datos!AN16))," - ")</f>
        <v>8.5106382978723402E-2</v>
      </c>
      <c r="H16" s="230">
        <f>IF(ISNUMBER((Datos!M16-Datos!W16)/Datos!W16),(Datos!M16-Datos!W16)/Datos!W16," - ")</f>
        <v>-9.0909090909090912E-2</v>
      </c>
      <c r="I16" s="350">
        <f>IF(ISNUMBER((Tasas!C16-Datos!BE16)/Datos!BE16),(Tasas!C16-Datos!BE16)/Datos!BE16," - ")</f>
        <v>7.5987841945288487E-3</v>
      </c>
      <c r="J16" s="349">
        <f>IF(ISNUMBER((Tasas!D16-Datos!BF16)/Datos!BF16),(Tasas!D16-Datos!BF16)/Datos!BF16," - ")</f>
        <v>-0.1558441558441559</v>
      </c>
      <c r="K16" s="351">
        <f>IF(ISNUMBER((Tasas!E16-Datos!BG16)/Datos!BG16),(Tasas!E16-Datos!BG16)/Datos!BG16," - ")</f>
        <v>-7.8277886497064315E-3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-0.33333333333333331</v>
      </c>
      <c r="J17" s="349" t="str">
        <f>IF(ISNUMBER((Tasas!D17-Datos!BF17)/Datos!BF17),(Tasas!D17-Datos!BF17)/Datos!BF17," - ")</f>
        <v xml:space="preserve"> - </v>
      </c>
      <c r="K17" s="351">
        <f>IF(ISNUMBER((Tasas!E17-Datos!BG17)/Datos!BG17),(Tasas!E17-Datos!BG17)/Datos!BG17," - ")</f>
        <v>-0.2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6.5868263473053898E-2</v>
      </c>
      <c r="E18" s="354">
        <f>IF(ISNUMBER(
   IF(D_I="SI",(Datos!J18-Datos!T18)/Datos!T18,(Datos!J18+Datos!AD18-(Datos!T18+Datos!AL18))/(Datos!T18+Datos!AL18))
     ),IF(D_I="SI",(Datos!J18-Datos!T18)/Datos!T18,(Datos!J18+Datos!AD18-(Datos!T18+Datos!AL18))/(Datos!T18+Datos!AL18))," - ")</f>
        <v>0</v>
      </c>
      <c r="F18" s="354">
        <f>IF(ISNUMBER(
   IF(D_I="SI",(Datos!K18-Datos!U18)/Datos!U18,(Datos!K18+Datos!AE18-(Datos!U18+Datos!AM18))/(Datos!U18+Datos!AM18))
     ),IF(D_I="SI",(Datos!K18-Datos!U18)/Datos!U18,(Datos!K18+Datos!AE18-(Datos!U18+Datos!AM18))/(Datos!U18+Datos!AM18))," - ")</f>
        <v>6.9767441860465115E-2</v>
      </c>
      <c r="G18" s="355">
        <f>IF(ISNUMBER(
   IF(D_I="SI",(Datos!L18-Datos!V18)/Datos!V18,(Datos!L18+Datos!AF18-(Datos!V18+Datos!AN18))/(Datos!V18+Datos!AN18))
     ),IF(D_I="SI",(Datos!L18-Datos!V18)/Datos!V18,(Datos!L18+Datos!AF18-(Datos!V18+Datos!AN18))/(Datos!V18+Datos!AN18))," - ")</f>
        <v>5.2287581699346407E-2</v>
      </c>
      <c r="H18" s="356">
        <f>IF(ISNUMBER((Datos!M18-Datos!W18)/Datos!W18),(Datos!M18-Datos!W18)/Datos!W18," - ")</f>
        <v>-9.0909090909090912E-2</v>
      </c>
      <c r="I18" s="357">
        <f>IF(ISNUMBER((Tasas!C18-Datos!BE18)/Datos!BE18),(Tasas!C18-Datos!BE18)/Datos!BE18," - ")</f>
        <v>-1.633986928104578E-2</v>
      </c>
      <c r="J18" s="355">
        <f>IF(ISNUMBER((Tasas!D18-Datos!BF18)/Datos!BF18),(Tasas!D18-Datos!BF18)/Datos!BF18," - ")</f>
        <v>-0.15019762845849807</v>
      </c>
      <c r="K18" s="358">
        <f>IF(ISNUMBER((Tasas!E18-Datos!BG18)/Datos!BG18),(Tasas!E18-Datos!BG18)/Datos!BG18," - ")</f>
        <v>-2.2193923958522821E-2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-4.6403712296983757E-3</v>
      </c>
      <c r="E19" s="363">
        <f>IF(ISNUMBER(
   IF(J_V="SI",(Datos!J19-Datos!T19)/Datos!T19,(Datos!J19+Datos!Z19-(Datos!T19+Datos!AH19))/(Datos!T19+Datos!AH19))
     ),IF(J_V="SI",(Datos!J19-Datos!T19)/Datos!T19,(Datos!J19+Datos!Z19-(Datos!T19+Datos!AH19))/(Datos!T19+Datos!AH19))," - ")</f>
        <v>0.22395833333333334</v>
      </c>
      <c r="F19" s="363">
        <f>IF(ISNUMBER(
   IF(J_V="SI",(Datos!K19-Datos!U19)/Datos!U19,(Datos!K19+Datos!AA19-(Datos!U19+Datos!AI19))/(Datos!U19+Datos!AI19))
     ),IF(J_V="SI",(Datos!K19-Datos!U19)/Datos!U19,(Datos!K19+Datos!AA19-(Datos!U19+Datos!AI19))/(Datos!U19+Datos!AI19))," - ")</f>
        <v>0.35326086956521741</v>
      </c>
      <c r="G19" s="364">
        <f>IF(ISNUMBER(
   IF(J_V="SI",(Datos!L19-Datos!V19)/Datos!V19,(Datos!L19+Datos!AB19-(Datos!V19+Datos!AJ19))/(Datos!V19+Datos!AJ19))
     ),IF(J_V="SI",(Datos!L19-Datos!V19)/Datos!V19,(Datos!L19+Datos!AB19-(Datos!V19+Datos!AJ19))/(Datos!V19+Datos!AJ19))," - ")</f>
        <v>-4.7835990888382689E-2</v>
      </c>
      <c r="H19" s="365">
        <f>IF(ISNUMBER((Datos!M19-Datos!W19)/Datos!W19),(Datos!M19-Datos!W19)/Datos!W19," - ")</f>
        <v>1.1666666666666667</v>
      </c>
      <c r="I19" s="362">
        <f>IF(ISNUMBER((Tasas!C19-Datos!BE19)/Datos!BE19),(Tasas!C19-Datos!BE19)/Datos!BE19," - ")</f>
        <v>-0.29639286073679677</v>
      </c>
      <c r="J19" s="363">
        <f>IF(ISNUMBER((Tasas!D19-Datos!BF19)/Datos!BF19),(Tasas!D19-Datos!BF19)/Datos!BF19," - ")</f>
        <v>-0.51153767612824175</v>
      </c>
      <c r="K19" s="364">
        <f>IF(ISNUMBER((Tasas!E19-Datos!BG19)/Datos!BG19),(Tasas!E19-Datos!BG19)/Datos!BG19," - ")</f>
        <v>-0.21241305510968433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0.1557741498404491</v>
      </c>
      <c r="E21" s="278">
        <f t="shared" si="1"/>
        <v>7.7076294723691374E-2</v>
      </c>
      <c r="F21" s="278">
        <f t="shared" si="1"/>
        <v>4.2496781878585167E-2</v>
      </c>
      <c r="G21" s="279">
        <f t="shared" si="1"/>
        <v>0.19277805864736636</v>
      </c>
      <c r="H21" s="285">
        <f t="shared" si="1"/>
        <v>1.8670158055612576</v>
      </c>
      <c r="I21" s="277">
        <f t="shared" si="1"/>
        <v>0.22327417300931868</v>
      </c>
      <c r="J21" s="278">
        <f t="shared" si="1"/>
        <v>0.2712812624343483</v>
      </c>
      <c r="K21" s="279">
        <f t="shared" si="1"/>
        <v>0.15656826928316459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KXrZ+O+7S16Bq4lCJ8PzXEgso8vxltbzaL2Lm4t0zvk7giWrTfVdixZBJnIQUCczCakZqUdEP4EGRd6GF+Rqg==" saltValue="S7Mcjltd16rRCvp6C3ws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